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35" windowWidth="20400" windowHeight="7770" activeTab="4"/>
  </bookViews>
  <sheets>
    <sheet name="แบบ ภายนอก" sheetId="1" r:id="rId1"/>
    <sheet name="ส่วน 2" sheetId="2" r:id="rId2"/>
    <sheet name="ส่วนที่ 2 (ยุธทศาสตร์)" sheetId="3" r:id="rId3"/>
    <sheet name="ตาราง แสดงค่าเฉลี่ย" sheetId="4" r:id="rId4"/>
    <sheet name="อธิบายตาราง" sheetId="5" r:id="rId5"/>
  </sheets>
  <calcPr calcId="144525"/>
</workbook>
</file>

<file path=xl/calcChain.xml><?xml version="1.0" encoding="utf-8"?>
<calcChain xmlns="http://schemas.openxmlformats.org/spreadsheetml/2006/main">
  <c r="I271" i="3" l="1"/>
  <c r="H271" i="3"/>
  <c r="G271" i="3"/>
  <c r="F271" i="3"/>
  <c r="E271" i="3"/>
  <c r="D271" i="3"/>
  <c r="I270" i="3"/>
  <c r="H270" i="3"/>
  <c r="G270" i="3"/>
  <c r="F270" i="3"/>
  <c r="E270" i="3"/>
  <c r="D270" i="3"/>
  <c r="I269" i="3"/>
  <c r="I268" i="3"/>
  <c r="H269" i="3"/>
  <c r="H268" i="3"/>
  <c r="G269" i="3"/>
  <c r="G268" i="3"/>
  <c r="F269" i="3"/>
  <c r="F268" i="3"/>
  <c r="E269" i="3"/>
  <c r="E268" i="3"/>
  <c r="D269" i="3"/>
  <c r="D268" i="3"/>
  <c r="F267" i="3"/>
  <c r="I267" i="3"/>
  <c r="G267" i="3"/>
  <c r="G266" i="3"/>
  <c r="I266" i="3"/>
  <c r="F266" i="3"/>
  <c r="E267" i="3"/>
  <c r="E266" i="3"/>
  <c r="D267" i="3"/>
  <c r="D266" i="3"/>
  <c r="I265" i="3"/>
  <c r="I264" i="3"/>
  <c r="G265" i="3"/>
  <c r="G264" i="3"/>
  <c r="F265" i="3"/>
  <c r="F264" i="3"/>
  <c r="E265" i="3"/>
  <c r="E264" i="3"/>
  <c r="D265" i="3"/>
  <c r="D264" i="3"/>
  <c r="I263" i="3"/>
  <c r="I262" i="3"/>
  <c r="G263" i="3"/>
  <c r="G262" i="3"/>
  <c r="F263" i="3"/>
  <c r="F262" i="3"/>
  <c r="E263" i="3"/>
  <c r="E262" i="3"/>
  <c r="D263" i="3"/>
  <c r="D262" i="3"/>
  <c r="I261" i="3"/>
  <c r="D260" i="3"/>
  <c r="I260" i="3"/>
  <c r="H261" i="3"/>
  <c r="H260" i="3"/>
  <c r="G261" i="3"/>
  <c r="G260" i="3"/>
  <c r="F261" i="3"/>
  <c r="F260" i="3"/>
  <c r="E261" i="3"/>
  <c r="E260" i="3"/>
  <c r="D261" i="3"/>
  <c r="I259" i="3"/>
  <c r="I258" i="3"/>
  <c r="G259" i="3"/>
  <c r="G258" i="3"/>
  <c r="F259" i="3"/>
  <c r="F258" i="3"/>
  <c r="E259" i="3"/>
  <c r="E258" i="3"/>
  <c r="D259" i="3" l="1"/>
  <c r="D258" i="3"/>
  <c r="I257" i="3"/>
  <c r="I256" i="3"/>
  <c r="G257" i="3"/>
  <c r="G256" i="3"/>
  <c r="F257" i="3"/>
  <c r="F256" i="3"/>
  <c r="E257" i="3"/>
  <c r="E256" i="3"/>
  <c r="D257" i="3"/>
  <c r="D256" i="3"/>
  <c r="I255" i="3"/>
  <c r="I254" i="3"/>
  <c r="G255" i="3"/>
  <c r="G254" i="3"/>
  <c r="F255" i="3"/>
  <c r="F254" i="3"/>
  <c r="E255" i="3"/>
  <c r="E254" i="3"/>
  <c r="D255" i="3"/>
  <c r="D254" i="3"/>
  <c r="I253" i="3"/>
  <c r="I252" i="3"/>
  <c r="G253" i="3"/>
  <c r="G252" i="3"/>
  <c r="F253" i="3"/>
  <c r="F252" i="3"/>
  <c r="E253" i="3"/>
  <c r="E252" i="3"/>
  <c r="D253" i="3"/>
  <c r="D252" i="3"/>
  <c r="H228" i="3"/>
  <c r="I228" i="3" s="1"/>
  <c r="H229" i="3"/>
  <c r="G229" i="3"/>
  <c r="I229" i="3" s="1"/>
  <c r="G228" i="3"/>
  <c r="F229" i="3"/>
  <c r="F228" i="3"/>
  <c r="E229" i="3"/>
  <c r="E228" i="3"/>
  <c r="D229" i="3"/>
  <c r="D228" i="3"/>
  <c r="H227" i="3"/>
  <c r="H226" i="3"/>
  <c r="I226" i="3" s="1"/>
  <c r="G227" i="3"/>
  <c r="I227" i="3" s="1"/>
  <c r="G226" i="3"/>
  <c r="F227" i="3"/>
  <c r="F226" i="3"/>
  <c r="E227" i="3"/>
  <c r="E226" i="3"/>
  <c r="D227" i="3"/>
  <c r="D226" i="3"/>
  <c r="G225" i="3"/>
  <c r="G224" i="3"/>
  <c r="I224" i="3" s="1"/>
  <c r="F225" i="3"/>
  <c r="I225" i="3" s="1"/>
  <c r="F224" i="3"/>
  <c r="E225" i="3"/>
  <c r="E224" i="3"/>
  <c r="D225" i="3"/>
  <c r="D224" i="3"/>
  <c r="D223" i="3"/>
  <c r="H223" i="3"/>
  <c r="H222" i="3"/>
  <c r="G223" i="3"/>
  <c r="G222" i="3"/>
  <c r="I222" i="3" s="1"/>
  <c r="F223" i="3"/>
  <c r="F222" i="3"/>
  <c r="E223" i="3"/>
  <c r="E222" i="3"/>
  <c r="D222" i="3"/>
  <c r="H221" i="3"/>
  <c r="I221" i="3" s="1"/>
  <c r="H220" i="3"/>
  <c r="I220" i="3" s="1"/>
  <c r="G221" i="3"/>
  <c r="G220" i="3"/>
  <c r="F221" i="3"/>
  <c r="F220" i="3"/>
  <c r="E221" i="3"/>
  <c r="E220" i="3"/>
  <c r="D221" i="3"/>
  <c r="D220" i="3"/>
  <c r="H219" i="3"/>
  <c r="I219" i="3" s="1"/>
  <c r="H218" i="3"/>
  <c r="I218" i="3" s="1"/>
  <c r="G219" i="3"/>
  <c r="G218" i="3"/>
  <c r="F219" i="3"/>
  <c r="F218" i="3"/>
  <c r="E219" i="3"/>
  <c r="E218" i="3"/>
  <c r="D219" i="3"/>
  <c r="D218" i="3"/>
  <c r="H217" i="3"/>
  <c r="I217" i="3" s="1"/>
  <c r="H216" i="3"/>
  <c r="I216" i="3" s="1"/>
  <c r="G217" i="3"/>
  <c r="G216" i="3"/>
  <c r="F217" i="3"/>
  <c r="F216" i="3"/>
  <c r="E217" i="3"/>
  <c r="E216" i="3"/>
  <c r="D217" i="3"/>
  <c r="D216" i="3"/>
  <c r="G215" i="3"/>
  <c r="I213" i="3"/>
  <c r="H215" i="3"/>
  <c r="I215" i="3" s="1"/>
  <c r="H214" i="3"/>
  <c r="I214" i="3" s="1"/>
  <c r="G214" i="3"/>
  <c r="F215" i="3"/>
  <c r="F214" i="3"/>
  <c r="E215" i="3"/>
  <c r="E214" i="3"/>
  <c r="D215" i="3"/>
  <c r="D214" i="3"/>
  <c r="H213" i="3"/>
  <c r="H212" i="3"/>
  <c r="I212" i="3" s="1"/>
  <c r="G213" i="3"/>
  <c r="G212" i="3"/>
  <c r="F213" i="3"/>
  <c r="F212" i="3"/>
  <c r="E213" i="3"/>
  <c r="E212" i="3"/>
  <c r="D213" i="3"/>
  <c r="D212" i="3"/>
  <c r="H187" i="3"/>
  <c r="H186" i="3"/>
  <c r="G187" i="3"/>
  <c r="G186" i="3"/>
  <c r="F187" i="3"/>
  <c r="F186" i="3"/>
  <c r="E187" i="3"/>
  <c r="E186" i="3"/>
  <c r="D187" i="3"/>
  <c r="D186" i="3"/>
  <c r="H185" i="3"/>
  <c r="H184" i="3"/>
  <c r="G185" i="3"/>
  <c r="G184" i="3"/>
  <c r="F185" i="3"/>
  <c r="F184" i="3"/>
  <c r="E185" i="3"/>
  <c r="E184" i="3"/>
  <c r="D185" i="3"/>
  <c r="D184" i="3"/>
  <c r="H183" i="3"/>
  <c r="H182" i="3"/>
  <c r="G183" i="3"/>
  <c r="G182" i="3"/>
  <c r="F183" i="3"/>
  <c r="F182" i="3"/>
  <c r="E183" i="3"/>
  <c r="E182" i="3"/>
  <c r="D183" i="3"/>
  <c r="D182" i="3"/>
  <c r="G181" i="3"/>
  <c r="G180" i="3"/>
  <c r="F181" i="3"/>
  <c r="F180" i="3"/>
  <c r="E181" i="3"/>
  <c r="E180" i="3"/>
  <c r="D181" i="3"/>
  <c r="D180" i="3"/>
  <c r="H179" i="3"/>
  <c r="H178" i="3"/>
  <c r="G179" i="3"/>
  <c r="G178" i="3"/>
  <c r="F179" i="3"/>
  <c r="F178" i="3"/>
  <c r="E179" i="3"/>
  <c r="E178" i="3"/>
  <c r="D179" i="3"/>
  <c r="D178" i="3"/>
  <c r="G177" i="3"/>
  <c r="G176" i="3"/>
  <c r="F177" i="3"/>
  <c r="F176" i="3"/>
  <c r="E177" i="3"/>
  <c r="E176" i="3"/>
  <c r="D177" i="3"/>
  <c r="D176" i="3"/>
  <c r="G175" i="3"/>
  <c r="G174" i="3"/>
  <c r="F175" i="3"/>
  <c r="F174" i="3"/>
  <c r="E175" i="3"/>
  <c r="E174" i="3"/>
  <c r="D175" i="3"/>
  <c r="D174" i="3"/>
  <c r="G173" i="3"/>
  <c r="G172" i="3"/>
  <c r="I172" i="3" s="1"/>
  <c r="F173" i="3"/>
  <c r="F172" i="3"/>
  <c r="E173" i="3"/>
  <c r="E172" i="3"/>
  <c r="D173" i="3"/>
  <c r="D172" i="3"/>
  <c r="G171" i="3"/>
  <c r="G170" i="3"/>
  <c r="F171" i="3"/>
  <c r="F170" i="3"/>
  <c r="E171" i="3"/>
  <c r="E170" i="3"/>
  <c r="D171" i="3"/>
  <c r="D170" i="3"/>
  <c r="H146" i="3"/>
  <c r="H147" i="3"/>
  <c r="G147" i="3"/>
  <c r="G146" i="3"/>
  <c r="F147" i="3"/>
  <c r="F146" i="3"/>
  <c r="E147" i="3"/>
  <c r="E146" i="3"/>
  <c r="D147" i="3"/>
  <c r="D146" i="3"/>
  <c r="G145" i="3"/>
  <c r="G144" i="3"/>
  <c r="F145" i="3"/>
  <c r="F144" i="3"/>
  <c r="E145" i="3"/>
  <c r="E144" i="3"/>
  <c r="D145" i="3"/>
  <c r="D144" i="3"/>
  <c r="F143" i="3"/>
  <c r="G143" i="3"/>
  <c r="G142" i="3"/>
  <c r="F142" i="3"/>
  <c r="E143" i="3"/>
  <c r="E142" i="3"/>
  <c r="D143" i="3"/>
  <c r="D142" i="3"/>
  <c r="G141" i="3"/>
  <c r="G140" i="3"/>
  <c r="F141" i="3"/>
  <c r="F140" i="3"/>
  <c r="E141" i="3"/>
  <c r="E140" i="3"/>
  <c r="D141" i="3"/>
  <c r="D140" i="3"/>
  <c r="H139" i="3"/>
  <c r="H138" i="3"/>
  <c r="G139" i="3"/>
  <c r="G138" i="3"/>
  <c r="F139" i="3"/>
  <c r="F138" i="3"/>
  <c r="E139" i="3"/>
  <c r="E138" i="3"/>
  <c r="D139" i="3"/>
  <c r="D138" i="3"/>
  <c r="G137" i="3"/>
  <c r="G136" i="3"/>
  <c r="F137" i="3"/>
  <c r="F136" i="3"/>
  <c r="E137" i="3"/>
  <c r="E136" i="3"/>
  <c r="D137" i="3"/>
  <c r="D136" i="3"/>
  <c r="G135" i="3"/>
  <c r="G134" i="3"/>
  <c r="F135" i="3"/>
  <c r="F134" i="3"/>
  <c r="E134" i="3"/>
  <c r="E135" i="3"/>
  <c r="D135" i="3"/>
  <c r="D134" i="3"/>
  <c r="G133" i="3"/>
  <c r="G132" i="3"/>
  <c r="F133" i="3"/>
  <c r="F132" i="3"/>
  <c r="E133" i="3"/>
  <c r="E132" i="3"/>
  <c r="D133" i="3"/>
  <c r="D132" i="3"/>
  <c r="G131" i="3"/>
  <c r="G130" i="3"/>
  <c r="F131" i="3"/>
  <c r="F130" i="3"/>
  <c r="E131" i="3"/>
  <c r="E130" i="3"/>
  <c r="D131" i="3"/>
  <c r="D130" i="3"/>
  <c r="F107" i="3"/>
  <c r="H107" i="3"/>
  <c r="H106" i="3"/>
  <c r="I106" i="3" s="1"/>
  <c r="G107" i="3"/>
  <c r="G106" i="3"/>
  <c r="F106" i="3"/>
  <c r="E107" i="3"/>
  <c r="E106" i="3"/>
  <c r="D107" i="3"/>
  <c r="D106" i="3"/>
  <c r="G105" i="3"/>
  <c r="G104" i="3"/>
  <c r="F105" i="3"/>
  <c r="F104" i="3"/>
  <c r="E105" i="3"/>
  <c r="E104" i="3"/>
  <c r="D105" i="3"/>
  <c r="D104" i="3"/>
  <c r="G103" i="3"/>
  <c r="G102" i="3"/>
  <c r="F103" i="3"/>
  <c r="F102" i="3"/>
  <c r="E103" i="3"/>
  <c r="E102" i="3"/>
  <c r="D103" i="3"/>
  <c r="D102" i="3"/>
  <c r="G101" i="3"/>
  <c r="G100" i="3"/>
  <c r="F101" i="3"/>
  <c r="F100" i="3"/>
  <c r="E101" i="3"/>
  <c r="E100" i="3"/>
  <c r="D101" i="3"/>
  <c r="D100" i="3"/>
  <c r="H99" i="3"/>
  <c r="H98" i="3"/>
  <c r="G99" i="3"/>
  <c r="G98" i="3"/>
  <c r="F99" i="3"/>
  <c r="F98" i="3"/>
  <c r="E99" i="3"/>
  <c r="E98" i="3"/>
  <c r="D99" i="3"/>
  <c r="D98" i="3"/>
  <c r="G97" i="3"/>
  <c r="G96" i="3"/>
  <c r="F97" i="3"/>
  <c r="F96" i="3"/>
  <c r="E97" i="3"/>
  <c r="E96" i="3"/>
  <c r="D97" i="3"/>
  <c r="D96" i="3"/>
  <c r="G95" i="3"/>
  <c r="G94" i="3"/>
  <c r="F95" i="3"/>
  <c r="F94" i="3"/>
  <c r="E95" i="3"/>
  <c r="E94" i="3"/>
  <c r="D95" i="3"/>
  <c r="D94" i="3"/>
  <c r="G93" i="3"/>
  <c r="G92" i="3"/>
  <c r="F93" i="3"/>
  <c r="F92" i="3"/>
  <c r="E93" i="3"/>
  <c r="E92" i="3"/>
  <c r="D93" i="3"/>
  <c r="D92" i="3"/>
  <c r="G91" i="3"/>
  <c r="G90" i="3"/>
  <c r="F91" i="3"/>
  <c r="F90" i="3"/>
  <c r="E91" i="3"/>
  <c r="E90" i="3"/>
  <c r="D91" i="3"/>
  <c r="D90" i="3"/>
  <c r="H67" i="3"/>
  <c r="H66" i="3"/>
  <c r="G67" i="3"/>
  <c r="G66" i="3"/>
  <c r="F67" i="3"/>
  <c r="F66" i="3"/>
  <c r="E67" i="3"/>
  <c r="E66" i="3"/>
  <c r="D67" i="3"/>
  <c r="D66" i="3"/>
  <c r="G65" i="3"/>
  <c r="G64" i="3"/>
  <c r="F65" i="3"/>
  <c r="F64" i="3"/>
  <c r="E65" i="3"/>
  <c r="E64" i="3"/>
  <c r="D65" i="3"/>
  <c r="D64" i="3"/>
  <c r="H63" i="3"/>
  <c r="H62" i="3"/>
  <c r="G63" i="3"/>
  <c r="G62" i="3"/>
  <c r="F63" i="3"/>
  <c r="F62" i="3"/>
  <c r="E63" i="3"/>
  <c r="E62" i="3"/>
  <c r="D63" i="3"/>
  <c r="D62" i="3"/>
  <c r="G61" i="3"/>
  <c r="G60" i="3"/>
  <c r="F61" i="3"/>
  <c r="F60" i="3"/>
  <c r="E61" i="3"/>
  <c r="E60" i="3"/>
  <c r="D61" i="3"/>
  <c r="D60" i="3"/>
  <c r="H59" i="3"/>
  <c r="H58" i="3"/>
  <c r="G59" i="3"/>
  <c r="G58" i="3"/>
  <c r="F59" i="3"/>
  <c r="I59" i="3" s="1"/>
  <c r="F58" i="3"/>
  <c r="E59" i="3"/>
  <c r="E58" i="3"/>
  <c r="D59" i="3"/>
  <c r="D58" i="3"/>
  <c r="H57" i="3"/>
  <c r="H56" i="3"/>
  <c r="G57" i="3"/>
  <c r="G56" i="3"/>
  <c r="F57" i="3"/>
  <c r="F56" i="3"/>
  <c r="E57" i="3"/>
  <c r="E56" i="3"/>
  <c r="D57" i="3"/>
  <c r="D56" i="3"/>
  <c r="H55" i="3"/>
  <c r="H54" i="3"/>
  <c r="G55" i="3"/>
  <c r="G54" i="3"/>
  <c r="F55" i="3"/>
  <c r="F54" i="3"/>
  <c r="E55" i="3"/>
  <c r="E54" i="3"/>
  <c r="D55" i="3"/>
  <c r="D54" i="3"/>
  <c r="G53" i="3"/>
  <c r="G52" i="3"/>
  <c r="I52" i="3" s="1"/>
  <c r="F53" i="3"/>
  <c r="F52" i="3"/>
  <c r="E53" i="3"/>
  <c r="E52" i="3"/>
  <c r="D53" i="3"/>
  <c r="D52" i="3"/>
  <c r="G51" i="3"/>
  <c r="G50" i="3"/>
  <c r="F51" i="3"/>
  <c r="F50" i="3"/>
  <c r="E51" i="3"/>
  <c r="E50" i="3"/>
  <c r="D51" i="3"/>
  <c r="D50" i="3"/>
  <c r="I61" i="3" l="1"/>
  <c r="I65" i="3"/>
  <c r="I91" i="3"/>
  <c r="I95" i="3"/>
  <c r="I99" i="3"/>
  <c r="I103" i="3"/>
  <c r="I131" i="3"/>
  <c r="I135" i="3"/>
  <c r="I139" i="3"/>
  <c r="I145" i="3"/>
  <c r="I147" i="3"/>
  <c r="I56" i="3"/>
  <c r="I58" i="3"/>
  <c r="I51" i="3"/>
  <c r="I171" i="3"/>
  <c r="I174" i="3"/>
  <c r="I178" i="3"/>
  <c r="I182" i="3"/>
  <c r="I184" i="3"/>
  <c r="I50" i="3"/>
  <c r="I55" i="3"/>
  <c r="I60" i="3"/>
  <c r="M66" i="3"/>
  <c r="O65" i="3"/>
  <c r="I90" i="3"/>
  <c r="I94" i="3"/>
  <c r="I98" i="3"/>
  <c r="I102" i="3"/>
  <c r="I132" i="3"/>
  <c r="I136" i="3"/>
  <c r="I140" i="3"/>
  <c r="I175" i="3"/>
  <c r="I179" i="3"/>
  <c r="I183" i="3"/>
  <c r="I53" i="3"/>
  <c r="I54" i="3"/>
  <c r="I63" i="3"/>
  <c r="I67" i="3"/>
  <c r="I93" i="3"/>
  <c r="I97" i="3"/>
  <c r="I101" i="3"/>
  <c r="I105" i="3"/>
  <c r="I133" i="3"/>
  <c r="I137" i="3"/>
  <c r="I141" i="3"/>
  <c r="I146" i="3"/>
  <c r="I176" i="3"/>
  <c r="I180" i="3"/>
  <c r="I186" i="3"/>
  <c r="I223" i="3"/>
  <c r="I57" i="3"/>
  <c r="I62" i="3"/>
  <c r="L66" i="3"/>
  <c r="N66" i="3"/>
  <c r="I92" i="3"/>
  <c r="I96" i="3"/>
  <c r="I100" i="3"/>
  <c r="I104" i="3"/>
  <c r="I130" i="3"/>
  <c r="I134" i="3"/>
  <c r="I138" i="3"/>
  <c r="I144" i="3"/>
  <c r="I170" i="3"/>
  <c r="I173" i="3"/>
  <c r="I177" i="3"/>
  <c r="I181" i="3"/>
  <c r="I185" i="3"/>
  <c r="I187" i="3"/>
  <c r="I64" i="3"/>
  <c r="I66" i="3"/>
  <c r="I107" i="3"/>
  <c r="I143" i="3"/>
  <c r="I142" i="3"/>
  <c r="H20" i="3"/>
  <c r="H19" i="3"/>
  <c r="G19" i="3"/>
  <c r="I19" i="3" s="1"/>
  <c r="F28" i="3"/>
  <c r="H28" i="3"/>
  <c r="H27" i="3"/>
  <c r="G28" i="3"/>
  <c r="G27" i="3"/>
  <c r="F27" i="3"/>
  <c r="E28" i="3"/>
  <c r="E27" i="3"/>
  <c r="D28" i="3"/>
  <c r="D27" i="3"/>
  <c r="G26" i="3"/>
  <c r="G25" i="3"/>
  <c r="I25" i="3" s="1"/>
  <c r="F26" i="3"/>
  <c r="F25" i="3"/>
  <c r="E25" i="3"/>
  <c r="E26" i="3"/>
  <c r="D26" i="3"/>
  <c r="D25" i="3"/>
  <c r="G24" i="3"/>
  <c r="G23" i="3"/>
  <c r="F24" i="3"/>
  <c r="F23" i="3"/>
  <c r="E24" i="3"/>
  <c r="E23" i="3"/>
  <c r="D24" i="3"/>
  <c r="D23" i="3"/>
  <c r="G22" i="3"/>
  <c r="G21" i="3"/>
  <c r="F22" i="3"/>
  <c r="F21" i="3"/>
  <c r="E22" i="3"/>
  <c r="E21" i="3"/>
  <c r="D22" i="3"/>
  <c r="D21" i="3"/>
  <c r="G20" i="3"/>
  <c r="F20" i="3"/>
  <c r="F19" i="3"/>
  <c r="E20" i="3"/>
  <c r="E19" i="3"/>
  <c r="D20" i="3"/>
  <c r="D19" i="3"/>
  <c r="G18" i="3"/>
  <c r="G17" i="3"/>
  <c r="F18" i="3"/>
  <c r="F17" i="3"/>
  <c r="E18" i="3"/>
  <c r="E17" i="3"/>
  <c r="D18" i="3"/>
  <c r="D17" i="3"/>
  <c r="G16" i="3"/>
  <c r="G15" i="3"/>
  <c r="F16" i="3"/>
  <c r="F15" i="3"/>
  <c r="E16" i="3"/>
  <c r="E15" i="3"/>
  <c r="D16" i="3"/>
  <c r="D15" i="3"/>
  <c r="G14" i="3"/>
  <c r="G13" i="3"/>
  <c r="F14" i="3"/>
  <c r="F13" i="3"/>
  <c r="E14" i="3"/>
  <c r="E13" i="3"/>
  <c r="D14" i="3"/>
  <c r="D13" i="3"/>
  <c r="G12" i="3"/>
  <c r="G11" i="3"/>
  <c r="F12" i="3"/>
  <c r="F11" i="3"/>
  <c r="E12" i="3"/>
  <c r="E11" i="3"/>
  <c r="D12" i="3"/>
  <c r="D11" i="3"/>
  <c r="I27" i="2"/>
  <c r="H27" i="2"/>
  <c r="G27" i="2"/>
  <c r="F27" i="2"/>
  <c r="E27" i="2"/>
  <c r="D27" i="2"/>
  <c r="I26" i="2"/>
  <c r="I25" i="2"/>
  <c r="G26" i="2"/>
  <c r="G25" i="2"/>
  <c r="F26" i="2"/>
  <c r="F25" i="2"/>
  <c r="E26" i="2"/>
  <c r="E25" i="2"/>
  <c r="D26" i="2"/>
  <c r="D25" i="2"/>
  <c r="I24" i="2"/>
  <c r="I23" i="2"/>
  <c r="G24" i="2"/>
  <c r="G23" i="2"/>
  <c r="F24" i="2"/>
  <c r="F23" i="2"/>
  <c r="E24" i="2"/>
  <c r="E23" i="2"/>
  <c r="D24" i="2"/>
  <c r="D23" i="2"/>
  <c r="I22" i="2"/>
  <c r="I21" i="2"/>
  <c r="G22" i="2"/>
  <c r="G21" i="2"/>
  <c r="F22" i="2"/>
  <c r="F21" i="2"/>
  <c r="E22" i="2"/>
  <c r="E21" i="2"/>
  <c r="D22" i="2"/>
  <c r="D21" i="2"/>
  <c r="I20" i="2"/>
  <c r="I19" i="2"/>
  <c r="H20" i="2"/>
  <c r="H19" i="2"/>
  <c r="G20" i="2"/>
  <c r="G19" i="2"/>
  <c r="F20" i="2"/>
  <c r="F19" i="2"/>
  <c r="E20" i="2"/>
  <c r="E19" i="2"/>
  <c r="D20" i="2"/>
  <c r="D19" i="2"/>
  <c r="I18" i="2"/>
  <c r="I17" i="2"/>
  <c r="G18" i="2"/>
  <c r="G17" i="2"/>
  <c r="F18" i="2"/>
  <c r="F17" i="2"/>
  <c r="E18" i="2"/>
  <c r="E17" i="2"/>
  <c r="D18" i="2"/>
  <c r="D17" i="2"/>
  <c r="I16" i="2"/>
  <c r="I15" i="2"/>
  <c r="G16" i="2"/>
  <c r="G15" i="2"/>
  <c r="F16" i="2"/>
  <c r="F15" i="2"/>
  <c r="E16" i="2"/>
  <c r="E15" i="2"/>
  <c r="D16" i="2"/>
  <c r="D15" i="2"/>
  <c r="I14" i="2"/>
  <c r="G14" i="2"/>
  <c r="F14" i="2"/>
  <c r="E14" i="2"/>
  <c r="D14" i="2"/>
  <c r="I13" i="2"/>
  <c r="G13" i="2"/>
  <c r="F13" i="2"/>
  <c r="E13" i="2"/>
  <c r="D13" i="2"/>
  <c r="I12" i="2"/>
  <c r="G12" i="2"/>
  <c r="I11" i="2"/>
  <c r="F12" i="2"/>
  <c r="E12" i="2"/>
  <c r="D12" i="2"/>
  <c r="G11" i="2"/>
  <c r="F11" i="2"/>
  <c r="E11" i="2"/>
  <c r="D11" i="2"/>
  <c r="I10" i="2"/>
  <c r="H10" i="2"/>
  <c r="G10" i="2"/>
  <c r="F10" i="2"/>
  <c r="E10" i="2"/>
  <c r="D10" i="2"/>
  <c r="I9" i="2"/>
  <c r="H9" i="2"/>
  <c r="G9" i="2"/>
  <c r="F9" i="2"/>
  <c r="E9" i="2"/>
  <c r="D9" i="2"/>
  <c r="J35" i="1"/>
  <c r="J34" i="1"/>
  <c r="J33" i="1"/>
  <c r="J32" i="1"/>
  <c r="J31" i="1"/>
  <c r="J30" i="1"/>
  <c r="J29" i="1"/>
  <c r="J28" i="1"/>
  <c r="J24" i="1"/>
  <c r="J26" i="1"/>
  <c r="J25" i="1"/>
  <c r="J23" i="1"/>
  <c r="J22" i="1"/>
  <c r="J21" i="1"/>
  <c r="J19" i="1"/>
  <c r="J18" i="1"/>
  <c r="J17" i="1"/>
  <c r="J16" i="1"/>
  <c r="J15" i="1"/>
  <c r="J14" i="1"/>
  <c r="J13" i="1"/>
  <c r="J12" i="1"/>
  <c r="I14" i="3" l="1"/>
  <c r="I18" i="3"/>
  <c r="I20" i="3"/>
  <c r="I26" i="3"/>
  <c r="I13" i="3"/>
  <c r="I17" i="3"/>
  <c r="I21" i="3"/>
  <c r="I12" i="3"/>
  <c r="I16" i="3"/>
  <c r="I22" i="3"/>
  <c r="I24" i="3"/>
  <c r="I27" i="3"/>
  <c r="I11" i="3"/>
  <c r="I15" i="3"/>
  <c r="I23" i="3"/>
  <c r="I28" i="3"/>
  <c r="K12" i="1"/>
  <c r="K22" i="4"/>
  <c r="K20" i="4"/>
  <c r="K18" i="4"/>
  <c r="K16" i="4"/>
  <c r="K14" i="4"/>
  <c r="K12" i="4"/>
  <c r="K10" i="4"/>
  <c r="K8" i="4"/>
  <c r="K6" i="4"/>
  <c r="J24" i="4"/>
  <c r="I24" i="4"/>
  <c r="H24" i="4"/>
  <c r="G24" i="4"/>
  <c r="F24" i="4"/>
  <c r="E24" i="4"/>
  <c r="D24" i="4"/>
  <c r="K24" i="4" l="1"/>
  <c r="O148" i="3"/>
  <c r="O149" i="3" s="1"/>
  <c r="H149" i="3" s="1"/>
  <c r="N148" i="3"/>
  <c r="N149" i="3" s="1"/>
  <c r="G149" i="3" s="1"/>
  <c r="M148" i="3"/>
  <c r="M149" i="3" s="1"/>
  <c r="F149" i="3" s="1"/>
  <c r="L148" i="3"/>
  <c r="L149" i="3" s="1"/>
  <c r="E149" i="3" s="1"/>
  <c r="K148" i="3"/>
  <c r="K149" i="3" s="1"/>
  <c r="D149" i="3" s="1"/>
  <c r="O146" i="3"/>
  <c r="O147" i="3" s="1"/>
  <c r="H148" i="3" s="1"/>
  <c r="N146" i="3"/>
  <c r="N147" i="3" s="1"/>
  <c r="G148" i="3" s="1"/>
  <c r="M146" i="3"/>
  <c r="M147" i="3" s="1"/>
  <c r="F148" i="3" s="1"/>
  <c r="L146" i="3"/>
  <c r="L147" i="3" s="1"/>
  <c r="E148" i="3" s="1"/>
  <c r="K146" i="3"/>
  <c r="K147" i="3" s="1"/>
  <c r="D148" i="3" s="1"/>
  <c r="N67" i="3"/>
  <c r="G68" i="3" s="1"/>
  <c r="M67" i="3"/>
  <c r="F68" i="3" s="1"/>
  <c r="L67" i="3"/>
  <c r="E68" i="3" s="1"/>
  <c r="K66" i="3"/>
  <c r="K67" i="3" s="1"/>
  <c r="D68" i="3" s="1"/>
  <c r="O66" i="3"/>
  <c r="O67" i="3" s="1"/>
  <c r="H68" i="3" s="1"/>
  <c r="K55" i="3"/>
  <c r="O29" i="3"/>
  <c r="O30" i="3" s="1"/>
  <c r="H30" i="3" s="1"/>
  <c r="N29" i="3"/>
  <c r="N30" i="3" s="1"/>
  <c r="G30" i="3" s="1"/>
  <c r="M29" i="3"/>
  <c r="M30" i="3" s="1"/>
  <c r="F30" i="3" s="1"/>
  <c r="L29" i="3"/>
  <c r="L30" i="3" s="1"/>
  <c r="E30" i="3" s="1"/>
  <c r="K29" i="3"/>
  <c r="O27" i="3"/>
  <c r="O28" i="3" s="1"/>
  <c r="H29" i="3" s="1"/>
  <c r="N27" i="3"/>
  <c r="N28" i="3" s="1"/>
  <c r="G29" i="3" s="1"/>
  <c r="M27" i="3"/>
  <c r="M28" i="3" s="1"/>
  <c r="F29" i="3" s="1"/>
  <c r="L27" i="3"/>
  <c r="L28" i="3" s="1"/>
  <c r="E29" i="3" s="1"/>
  <c r="K27" i="3"/>
  <c r="K28" i="3" s="1"/>
  <c r="D29" i="3" s="1"/>
  <c r="K14" i="2"/>
  <c r="O27" i="2"/>
  <c r="O28" i="2" s="1"/>
  <c r="H28" i="2" s="1"/>
  <c r="N27" i="2"/>
  <c r="N28" i="2" s="1"/>
  <c r="G28" i="2" s="1"/>
  <c r="M27" i="2"/>
  <c r="M28" i="2" s="1"/>
  <c r="F28" i="2" s="1"/>
  <c r="L27" i="2"/>
  <c r="L28" i="2" s="1"/>
  <c r="E28" i="2" s="1"/>
  <c r="K27" i="2"/>
  <c r="O25" i="2"/>
  <c r="O26" i="2" s="1"/>
  <c r="N25" i="2"/>
  <c r="N26" i="2" s="1"/>
  <c r="M25" i="2"/>
  <c r="M26" i="2" s="1"/>
  <c r="L25" i="2"/>
  <c r="L26" i="2" s="1"/>
  <c r="K25" i="2"/>
  <c r="K34" i="1"/>
  <c r="K35" i="1"/>
  <c r="K25" i="1"/>
  <c r="K26" i="1"/>
  <c r="K18" i="1"/>
  <c r="K19" i="1"/>
  <c r="I149" i="3" l="1"/>
  <c r="I68" i="3"/>
  <c r="I29" i="3"/>
  <c r="I148" i="3"/>
  <c r="P27" i="2"/>
  <c r="P28" i="2" s="1"/>
  <c r="K28" i="2"/>
  <c r="D28" i="2" s="1"/>
  <c r="I28" i="2" s="1"/>
  <c r="P25" i="2"/>
  <c r="P26" i="2" s="1"/>
  <c r="K26" i="2"/>
  <c r="P29" i="3"/>
  <c r="P66" i="3"/>
  <c r="P147" i="3"/>
  <c r="P149" i="3"/>
  <c r="P146" i="3"/>
  <c r="P148" i="3"/>
  <c r="P28" i="3"/>
  <c r="K30" i="3"/>
  <c r="D30" i="3" s="1"/>
  <c r="I30" i="3" s="1"/>
  <c r="P27" i="3"/>
  <c r="P67" i="3" l="1"/>
  <c r="P30" i="3"/>
  <c r="O270" i="3" l="1"/>
  <c r="O271" i="3" s="1"/>
  <c r="N270" i="3"/>
  <c r="N271" i="3" s="1"/>
  <c r="M270" i="3"/>
  <c r="M271" i="3" s="1"/>
  <c r="L270" i="3"/>
  <c r="L271" i="3" s="1"/>
  <c r="K270" i="3"/>
  <c r="K271" i="3" s="1"/>
  <c r="O268" i="3"/>
  <c r="O269" i="3" s="1"/>
  <c r="N268" i="3"/>
  <c r="N269" i="3" s="1"/>
  <c r="M268" i="3"/>
  <c r="M269" i="3" s="1"/>
  <c r="L268" i="3"/>
  <c r="L269" i="3" s="1"/>
  <c r="K268" i="3"/>
  <c r="K269" i="3" s="1"/>
  <c r="O230" i="3"/>
  <c r="O231" i="3" s="1"/>
  <c r="H231" i="3" s="1"/>
  <c r="N230" i="3"/>
  <c r="N231" i="3" s="1"/>
  <c r="G231" i="3" s="1"/>
  <c r="M230" i="3"/>
  <c r="M231" i="3" s="1"/>
  <c r="F231" i="3" s="1"/>
  <c r="L230" i="3"/>
  <c r="L231" i="3" s="1"/>
  <c r="E231" i="3" s="1"/>
  <c r="K230" i="3"/>
  <c r="K231" i="3" s="1"/>
  <c r="D231" i="3" s="1"/>
  <c r="O228" i="3"/>
  <c r="O229" i="3" s="1"/>
  <c r="H230" i="3" s="1"/>
  <c r="N228" i="3"/>
  <c r="N229" i="3" s="1"/>
  <c r="G230" i="3" s="1"/>
  <c r="M228" i="3"/>
  <c r="M229" i="3" s="1"/>
  <c r="F230" i="3" s="1"/>
  <c r="L228" i="3"/>
  <c r="L229" i="3" s="1"/>
  <c r="E230" i="3" s="1"/>
  <c r="K228" i="3"/>
  <c r="O188" i="3"/>
  <c r="O189" i="3" s="1"/>
  <c r="H189" i="3" s="1"/>
  <c r="N188" i="3"/>
  <c r="N189" i="3" s="1"/>
  <c r="G189" i="3" s="1"/>
  <c r="M188" i="3"/>
  <c r="M189" i="3" s="1"/>
  <c r="F189" i="3" s="1"/>
  <c r="L188" i="3"/>
  <c r="L189" i="3" s="1"/>
  <c r="E189" i="3" s="1"/>
  <c r="K188" i="3"/>
  <c r="K189" i="3" s="1"/>
  <c r="D189" i="3" s="1"/>
  <c r="O186" i="3"/>
  <c r="O187" i="3" s="1"/>
  <c r="H188" i="3" s="1"/>
  <c r="N186" i="3"/>
  <c r="N187" i="3" s="1"/>
  <c r="G188" i="3" s="1"/>
  <c r="M186" i="3"/>
  <c r="M187" i="3" s="1"/>
  <c r="F188" i="3" s="1"/>
  <c r="L186" i="3"/>
  <c r="L187" i="3" s="1"/>
  <c r="E188" i="3" s="1"/>
  <c r="K186" i="3"/>
  <c r="K187" i="3" s="1"/>
  <c r="D188" i="3" s="1"/>
  <c r="O108" i="3"/>
  <c r="O109" i="3" s="1"/>
  <c r="H109" i="3" s="1"/>
  <c r="N108" i="3"/>
  <c r="N109" i="3" s="1"/>
  <c r="G109" i="3" s="1"/>
  <c r="M108" i="3"/>
  <c r="M109" i="3" s="1"/>
  <c r="F109" i="3" s="1"/>
  <c r="L108" i="3"/>
  <c r="L109" i="3" s="1"/>
  <c r="E109" i="3" s="1"/>
  <c r="K108" i="3"/>
  <c r="K109" i="3" s="1"/>
  <c r="D109" i="3" s="1"/>
  <c r="O106" i="3"/>
  <c r="O107" i="3" s="1"/>
  <c r="H108" i="3" s="1"/>
  <c r="N106" i="3"/>
  <c r="N107" i="3" s="1"/>
  <c r="G108" i="3" s="1"/>
  <c r="M106" i="3"/>
  <c r="M107" i="3" s="1"/>
  <c r="F108" i="3" s="1"/>
  <c r="L106" i="3"/>
  <c r="L107" i="3" s="1"/>
  <c r="E108" i="3" s="1"/>
  <c r="K106" i="3"/>
  <c r="K107" i="3" s="1"/>
  <c r="D108" i="3" s="1"/>
  <c r="O68" i="3"/>
  <c r="O69" i="3" s="1"/>
  <c r="H69" i="3" s="1"/>
  <c r="N68" i="3"/>
  <c r="N69" i="3" s="1"/>
  <c r="G69" i="3" s="1"/>
  <c r="M68" i="3"/>
  <c r="M69" i="3" s="1"/>
  <c r="F69" i="3" s="1"/>
  <c r="L68" i="3"/>
  <c r="L69" i="3" s="1"/>
  <c r="E69" i="3" s="1"/>
  <c r="K68" i="3"/>
  <c r="K69" i="3" s="1"/>
  <c r="D69" i="3" s="1"/>
  <c r="I230" i="3" l="1"/>
  <c r="I231" i="3"/>
  <c r="I189" i="3"/>
  <c r="I108" i="3"/>
  <c r="I69" i="3"/>
  <c r="I109" i="3"/>
  <c r="I188" i="3"/>
  <c r="K229" i="3"/>
  <c r="D230" i="3" s="1"/>
  <c r="P228" i="3"/>
  <c r="P107" i="3"/>
  <c r="P68" i="3"/>
  <c r="P271" i="3"/>
  <c r="P269" i="3"/>
  <c r="P268" i="3"/>
  <c r="P270" i="3"/>
  <c r="P231" i="3"/>
  <c r="P230" i="3"/>
  <c r="P189" i="3"/>
  <c r="P187" i="3"/>
  <c r="P186" i="3"/>
  <c r="P188" i="3"/>
  <c r="P109" i="3"/>
  <c r="P106" i="3"/>
  <c r="P108" i="3"/>
  <c r="P69" i="3" l="1"/>
  <c r="P229" i="3"/>
</calcChain>
</file>

<file path=xl/sharedStrings.xml><?xml version="1.0" encoding="utf-8"?>
<sst xmlns="http://schemas.openxmlformats.org/spreadsheetml/2006/main" count="569" uniqueCount="189">
  <si>
    <t>ของเทศบาลตำบลบ้านสิงห์</t>
  </si>
  <si>
    <t xml:space="preserve">ตำบลบ้านสิงห์ในภาพรวม  โดยมีกำหนดระยะเวลาในการติดตามและรายงานผลการดำเนินงาน  โดยเริ่มตั้งแต่เดือน  ตุลาคม </t>
  </si>
  <si>
    <t>ส่วนที่  1  ข้อมูลทั่วไป</t>
  </si>
  <si>
    <t>คุณลักษณะของประชากร</t>
  </si>
  <si>
    <t>ร้อยละ</t>
  </si>
  <si>
    <t>จำนวน(คน)</t>
  </si>
  <si>
    <t>เพศ</t>
  </si>
  <si>
    <t>ชาย</t>
  </si>
  <si>
    <t>หญิง</t>
  </si>
  <si>
    <t>อายุ</t>
  </si>
  <si>
    <t>อายุต่ำกว่า 20 ปี</t>
  </si>
  <si>
    <t>อายุ  20 – 30 ปี</t>
  </si>
  <si>
    <t>อายุ  31 – 40 ปี</t>
  </si>
  <si>
    <t>อายุ  41 – 50 ปี</t>
  </si>
  <si>
    <t>อายุ  51 – 60 ปี</t>
  </si>
  <si>
    <t>มากกว่า 60  ปีขึ้นไป</t>
  </si>
  <si>
    <t>การศึกษา</t>
  </si>
  <si>
    <t>ต่ำกว่าหรือเทียบเท่าประถมศึกษา</t>
  </si>
  <si>
    <t>มัธยมศึกษาตอนต้น</t>
  </si>
  <si>
    <t>มัธยมตอนปลาย/ปวช.</t>
  </si>
  <si>
    <t>ปวท./ปวส./อนุปริญญา</t>
  </si>
  <si>
    <t>ปริญญาตรี</t>
  </si>
  <si>
    <t>สูงกว่าปริญญาตรี</t>
  </si>
  <si>
    <t>ส่วนที่  2</t>
  </si>
  <si>
    <t>ความพึงพอใจต่อการดำเนินงานของเทศบาลตำบลบ้านสิงห์</t>
  </si>
  <si>
    <t>ประเด็น</t>
  </si>
  <si>
    <t>ระดับ</t>
  </si>
  <si>
    <t>ความพอใจ</t>
  </si>
  <si>
    <t>x</t>
  </si>
  <si>
    <t>มากที่สุด</t>
  </si>
  <si>
    <t>มาก</t>
  </si>
  <si>
    <t>ปานกลาง</t>
  </si>
  <si>
    <t>น้อย</t>
  </si>
  <si>
    <t>น้อยที่สุด</t>
  </si>
  <si>
    <t>1)  การเปิดโอกาสให้ประชาชนมีส่วน</t>
  </si>
  <si>
    <t>ร่วมในโครงการ/กิจกรรม</t>
  </si>
  <si>
    <t>2)  การประชาสัมพันธ์ให้ประชาชน</t>
  </si>
  <si>
    <t>รับรู้ข้อมูลโครงการ/กิจกรรม</t>
  </si>
  <si>
    <t>3)  การเปิดโอกาสให้ประชาชนแสดง</t>
  </si>
  <si>
    <t>ความคิดเห็นในโครงการ/กิจกรรม</t>
  </si>
  <si>
    <t>4)  การรายงานผลการดำเนินงาน</t>
  </si>
  <si>
    <t>ของโครงการ/กิจกรรม</t>
  </si>
  <si>
    <t>5)  ความโปร่งใสในการดำเนิน</t>
  </si>
  <si>
    <t>โครงการ/กิจกรรม</t>
  </si>
  <si>
    <t>6)  การดำเนินงานเป็นไปตามระยะ</t>
  </si>
  <si>
    <t>เวลาที่กำหนด</t>
  </si>
  <si>
    <t>7)  ผลการดำเนินงานโครงการ/</t>
  </si>
  <si>
    <t>กิจกรรมนำไปสู่การแก้ไขปัญหา</t>
  </si>
  <si>
    <t>8)  การแก้ไขปัญหา และการตอบ</t>
  </si>
  <si>
    <t>สนองความต้องการของประชาชน</t>
  </si>
  <si>
    <t>9)  ประโยชน์ที่ประชาชนได้รับจาก</t>
  </si>
  <si>
    <t>การดำเนินการโครงการ/กิจกรรม</t>
  </si>
  <si>
    <t>ในภาพรวม</t>
  </si>
  <si>
    <t xml:space="preserve"> </t>
  </si>
  <si>
    <t xml:space="preserve">เทศบาลตำบลบ้านสิงห์ </t>
  </si>
  <si>
    <t>การประเมินความพึงพอใจผลการดำเนินงาน(โครงการ/กิจกรรม) ของเทศบาลตำบลบ้านสิงห์ ในการพัฒนา</t>
  </si>
  <si>
    <t>ในภาพรวมจำแนกตามยุทธศาสตร์และประเด็นการพัฒนา</t>
  </si>
  <si>
    <t>ยุทธศาสตร์ที่ 1  การพัฒนาด้านโครงสร้างพื้นฐาน สาธารณูปโภค และสาธารณูปการ</t>
  </si>
  <si>
    <t>(เช่น ก่อสร้าง ปรับปรุง บำรุงรักษาถนน ตรอก ซอย ทางเดินเท้า การพัฒนาการจราจรและระบบขนส่ง ระบบ</t>
  </si>
  <si>
    <t>ไฟฟ้าสาธารณะ ก่อสร้างปรับปรุงและพัฒนาแหล่งน้ำเพื่อการอุปโภค-บริโภค ระบบสื่อสารโทรคมนาคม)</t>
  </si>
  <si>
    <t>ยุทธศาสตร์ที่ 2  การพัฒนาด้านการจัดการทรัพยากรธรรมชาติและสิ่งแวดล้อม</t>
  </si>
  <si>
    <t>ยุทธศาสตร์ที่ 3  การพัฒนาด้านการบริหารและการจัดบริการด้านสาธารณสุข</t>
  </si>
  <si>
    <t>(เช่น การให้ความรู้และบริการด้านสาธารณสุข การรณรงค์ประชาสัมพันธ์ป้องกันโรคต่าง ๆ  การป้องกันและ</t>
  </si>
  <si>
    <t>(เช่น การสร้างจิตสำนึกและตระหนักในการจัดการทรัพยากรธรรมชาติ การจัดระบบบริหารจัดการขยะการ</t>
  </si>
  <si>
    <t xml:space="preserve">ปรับปรุงและพัฒนาสภาพแวดล้อมชุมชน เป็นต้น) </t>
  </si>
  <si>
    <t>ส่งเสริมสุขภาพประชาชน การส่งเสริมการออกกำลังกาย สนับสนุนและส่งเสริมการกีฬาทุกชนิด เป็นต้น)</t>
  </si>
  <si>
    <t>ยุทธศาสตร์ที่ 4   การพัฒนาด้านระบบการศึกษาและส่งเสริมศิลปวัฒนธรรมท้องถิ่น</t>
  </si>
  <si>
    <t xml:space="preserve"> (เช่น ส่งเสริมระบบการศึกษา ส่งเสริมขนบธรรมเนียม จารีตประเพณี ศิลปวัฒนธรรม ภูมิปัญญาท้องถิ่น</t>
  </si>
  <si>
    <t>วัฒนธรรมท้องถิ่นและวัฒนธรรมอันดี ส่งเสริมสนับสนุนการจัดการเรียนการสอนศูนย์พัฒนาเด็กเล็กในสังกัด</t>
  </si>
  <si>
    <t>ยุทธศาสตร์ที่ 5 การพัฒนาด้านเสริมสร้างความเข้มแข็งของระบบเศรษฐกิจชุมชนตามปรัชญาเศรษฐกิจพอเพียง</t>
  </si>
  <si>
    <t>(เช่น ส่งเสริมอาชีพให้ประชาชนมีรายได้เสริม ส่งเสริมการกระจายรายได้ให้แก่ประชาชน ส่งเสริมการจัดตั้งกลุ่ม</t>
  </si>
  <si>
    <t>อาชีพ ส่งเสริมการท่องเที่ยว ส่งเสริมการพาณิชย์การลงทุนและการผลิตสินค้าให้มีคุณภาพ เป็นต้น)</t>
  </si>
  <si>
    <t>ยุทธศาสตร์ที่ 6 การพัฒนาด้านพัฒนาคุณภาพชีวิต ศักยภาพคนและความเข้มแข็งของชุมชน</t>
  </si>
  <si>
    <t>(เช่น การส่งเสริมให้ประชาชนมีคุณภาพชีวิตที่ดี สังคมมีคุณภาพ ประชาชนห่างไกลยาเสพติด การป้องกันและ</t>
  </si>
  <si>
    <t xml:space="preserve">บำบัดผู้ติดยาเสพติด ส่งเสริมสวัสดิการและกิจกรรมนันทนาการ ส่งเสริมการศาสนาและรักษาขนบธรรมเนียม จารีตประเพณี </t>
  </si>
  <si>
    <t>ศิลปวัฒนธรรมภูมิปัญญาท้องถิ่นและวัฒนธรรมในชุมชน การป้องกันและบรรเทาสาธารณภัย การรักษาความมั่นคงและความ</t>
  </si>
  <si>
    <t>สงบเรียบร้อย)</t>
  </si>
  <si>
    <t>ยุทธศาสตร์ที่ 7  การพัฒนาด้านประสิทธิภาพการเมือง การบริหารและพัฒนาบุคลากรท้องถิ่น</t>
  </si>
  <si>
    <t>(เช่น ส่งเสริมการมีส่วนร่วมของประชาชน พัฒนาส่งเสริมความรู้ความเข้าใจเกี่ยวกับการปกครองระบอบ</t>
  </si>
  <si>
    <t>แบบประเมิน 3/2 แบบประเมินความพึพอใจของ ประชาชน ต่อผลการดำเนินงาน</t>
  </si>
  <si>
    <t>คำชี้แจง  :  แบบที่ 3/2 เป็นแบบสำรวจความพึงพอใจของประชาชนเทศบาลตำบลบ้านสิงห์ต่อผลการดำเนินงานของเทศบาล</t>
  </si>
  <si>
    <t>ตารางที่  แสดงจำนวนและร้อยละของผู้ตอบแบบสอบถามที่เป็นประชาชนของเทศบาลตำบลบ้านสิงห์</t>
  </si>
  <si>
    <t>อาชีพ</t>
  </si>
  <si>
    <t>รับราชการ</t>
  </si>
  <si>
    <t>เอกชน</t>
  </si>
  <si>
    <t xml:space="preserve"> ค้าขาย</t>
  </si>
  <si>
    <t>รับจ้าง</t>
  </si>
  <si>
    <t>นักเรียน/นักศึกษา</t>
  </si>
  <si>
    <t>เกษตร</t>
  </si>
  <si>
    <t>อื่น ๆ (ไม่มีการระบุ)</t>
  </si>
  <si>
    <r>
      <t>ตาราง แสดงค่าเฉลี่ย ค่าร้อยละ ระดับความพึงพอใจของ</t>
    </r>
    <r>
      <rPr>
        <b/>
        <sz val="16"/>
        <color theme="1"/>
        <rFont val="TH SarabunIT๙"/>
        <family val="2"/>
      </rPr>
      <t xml:space="preserve"> </t>
    </r>
    <r>
      <rPr>
        <b/>
        <u/>
        <sz val="16"/>
        <color theme="1"/>
        <rFont val="TH SarabunIT๙"/>
        <family val="2"/>
      </rPr>
      <t>ประชาชนของเทศบาลตำบลบ้านสิงห์</t>
    </r>
    <r>
      <rPr>
        <sz val="16"/>
        <color theme="1"/>
        <rFont val="TH SarabunIT๙"/>
        <family val="2"/>
      </rPr>
      <t xml:space="preserve">   ต่อการดำเนินงานของ</t>
    </r>
  </si>
  <si>
    <t>แสดงค่าเฉลี่ย  ระดับความพึงพอใจของประชาชนในเขตเทศบาลตำบลบ้านสิงห์  ต่อผลการดำเนินโครงการ/กิจกรรม ทั้ง 7 ยุทธศาสตร์ และโดยรวม</t>
  </si>
  <si>
    <t>ยุทธศาสตร์</t>
  </si>
  <si>
    <t>กิจกรรม</t>
  </si>
  <si>
    <t>1) การเปิดโอกาสให้ประชาชนมีส่วนร่วมในโครงการ/</t>
  </si>
  <si>
    <t>2) การประชาสัมพันธ์ให้ประชาชนรับรู้ข้อมูลโครงการ/</t>
  </si>
  <si>
    <t>3) การเปิดโอกาสให้ประชาชนแสดงความคิดเห็นใน</t>
  </si>
  <si>
    <t>4) การรายงานผลการดำเนินงานของโครงการ/</t>
  </si>
  <si>
    <t>5) ความโปร่งใสในการดำเนินโครงการ/กิจกรรม</t>
  </si>
  <si>
    <t>แก้ไขปัญหา</t>
  </si>
  <si>
    <t>7) ผลการดำเนินงานโครงการ/กิจกรรมนำไปสู่การ</t>
  </si>
  <si>
    <t>6) การดำเนินงานเป็นไปตามระยะเวลาที่กำหนด</t>
  </si>
  <si>
    <t>ของประชาชน</t>
  </si>
  <si>
    <t>8) การแก้ไขปัญหา และการตอบสนองความต้องการ</t>
  </si>
  <si>
    <t>9)  ประโยชน์ที่ประชาชนได้รับจากการดำเนินการ</t>
  </si>
  <si>
    <t>การสำรวจความพึงพอใจของประชาชนในเขตเทศบาลตำบลบ้านสิงห์ ในภาพรวม พบว่า ประชาชน</t>
  </si>
  <si>
    <t xml:space="preserve">   </t>
  </si>
  <si>
    <t>นักการเมือง</t>
  </si>
  <si>
    <t>ระดับความพึงพอใจของประชาชนในเขตเทศบาลตำบลบ้านสิงห์ต่อผลการดำเนินงานของเทศบาลตำบล</t>
  </si>
  <si>
    <t>บ้านสิงห์ ดังต่อไปนี้</t>
  </si>
  <si>
    <t>บ้านสิงห์  ดังต่อไปนี้</t>
  </si>
  <si>
    <t>การสำรวจความพึงพอใจของประชาชนในเขตเทศบาลตำบลบ้านสิงห์   ต่อผลการดำเนินงานของเทศบาล</t>
  </si>
  <si>
    <t>ประโยชน์ที่ประชาชนได้รับจากการดำเนินการโครงการ/กิจกรรม</t>
  </si>
  <si>
    <t>การสำรวจความพึงพอใจของประชาชนในเขตเทศบาลตำบลบ้านสิงห์ ต่อผลการดำเนินงานของเทศบาล</t>
  </si>
  <si>
    <t>ตำบลบ้านสิงห์ ในภาพรวมพบว่า ประชาชนในเขตเทศบาลตำบลบ้านสิงห์  มีความพึงพอใจต่อผลการดำเนินงาน ใน</t>
  </si>
  <si>
    <t>ตำบลบ้านสิงห์ ในภาพรวมพบว่า ประชาชนในเขตเทศบาลตำบลบ้านสิงห์ มีความพึงพอใจต่อผลการดำเนินงาน ในภาพ</t>
  </si>
  <si>
    <t>ตำบลบ้านสิงห์ ในภาพรวม พบว่า ประชาชนในเขตเทศบาลตำบลบ้านสิงห์ มีความพึงพอใจต่อผลการดำเนินงาน ใน</t>
  </si>
  <si>
    <t>การสำรวจความพึงพอใจของประชาชนในเขตของเทศบาลตำบลบ้านสิงห์ต่อผลการดำเนินงานของเทศบาล</t>
  </si>
  <si>
    <t>การสำรวจความพึงพอใจของประชาชนในเขตเทศบาลตำบลบ้านสิงห์  ต่อผลการดำเนินงานของเทศบาล</t>
  </si>
  <si>
    <t>ตำบลบ้านสิงห์ ในภาพรวมพบว่า ประชาชนในเขตเทศบาลตำบลบ้านสิงห์   มีความพึงพอใจต่อผลการดำเนินงาน ใน</t>
  </si>
  <si>
    <t>ระดับความพึงพอใจของประชาชนในเขตเทศบาลตำบลบ้านสิงห์  ต่อผลการดำเนินงานของเทศบาลตำบล</t>
  </si>
  <si>
    <t>ระดับความพึงพอใจของประชาชนในเขตเทศบาลตำบลบ้านสิงห์ ต่อผลการดำเนินงานของเทศบาลตำบล</t>
  </si>
  <si>
    <t>ตำบลบ้านสิงห์ ในภาพรวมพบว่า ประชาชนในเขตเทศบาลตำบลบ้านสิงห์มีความพึงพอใจต่อผลการดำเนินงาน ในภาพ</t>
  </si>
  <si>
    <t>ประชาธิปไตย ส่งเสริมการพัฒนาบุคลากร ปรับปรุงระเบียบ กฎหมาย ข้อบังคับแลเอกสารต่างๆ พัฒนาปรับปรุงรายได้</t>
  </si>
  <si>
    <t>ของเทศบาล ส่งเสริมและสนับสนุนให้มีอุปกรณ์เครื่องมือเครื่องใช้ที่ทันสมัยและเหมาะสมเพียงพอต่อการปฏิบัติงาน)</t>
  </si>
  <si>
    <t>2564 สิ้นสุดโครงการ เดือน กันยายน  ๒๕๖6</t>
  </si>
  <si>
    <t>(n  =  360)</t>
  </si>
  <si>
    <t>กลุ่มตัวอย่าง  360  คน  เป็นเพศชาย จำนวน 166 คน คิดเป็นร้อยละ 46.11 และเพศหญิงจำนวน 194  คน คิดเป็น</t>
  </si>
  <si>
    <t>ร้อยละ 53.89  ส่วนใหญ่มีอายุ 51 - 60 ปี จำนวน 86 คน คิดเป็นร้อยละ 23.89  รองลงมาคือ อายุ 41-50 ปี จำนวน</t>
  </si>
  <si>
    <t xml:space="preserve">85 คน คิดเป็นร้อยละ 23.61  ระดับการศึกษาต่ำกว่าหรือเทียบเท่าประถมศึกษา จำนวน  109 คน  คิดเป็นร้อยละ 30.28 </t>
  </si>
  <si>
    <t>รองลงมาคือระดับมัธยมศึกษาตอนต้น จำนวน 91 คน คิดเป็นร้อยละ 25.28  และประกอบอาชีพรับจ้าง จำนวน  126 คน</t>
  </si>
  <si>
    <t>คิดเป็นร้อยละ 35.00 รองลงมาประกอบอาชีพค้าขาย  จำนวน 86 คน คิดเป็นร้อยละ 23.89</t>
  </si>
  <si>
    <t>ภาพรวม ค่าเฉลี่ย 3.56 อยู่ในระดับ พึงพอใจมาก เมื่อพิจารณาในระดับความพึงพอใจในแต่ละประเด็น พบว่า</t>
  </si>
  <si>
    <t>ประชาชนในเขตตำบลบ้านสิงห์ มีความพึงพอใจมากที่สุด ค่าเฉลี่ย 3.58 อยู่ในระดับความพึงพอใจมาก คือ การเปิด</t>
  </si>
  <si>
    <t>โอกาสให้ประชาชนมีส่วนร่วมในโครงการ/กิจกรรม ความโปร่งใสในการดำเนินโครงการ/กิจกรรม และการดำเนิน</t>
  </si>
  <si>
    <t>งานเป็นไปตามระยะเวลาที่กำหนด ระดับรองลงมา ค่าเฉลี่ย 3.57 อยู่ในระดับความพึงพอใจมาก คือผลการดำเนิน</t>
  </si>
  <si>
    <t>งานโครงการ/กิจกรรมนำไปสู่การแก้ไขปัญหา</t>
  </si>
  <si>
    <t xml:space="preserve">สำหรับประเด็นที่ประชาชนความพึงพอใจน้อยที่สุด ค่าเฉลี่ย 3.55 อยู่ในระดับความพึงพอใจมาก คือ </t>
  </si>
  <si>
    <t>ภาพรวม ค่าเฉลี่ย 3.78 อยู่ในระดับ พึงพอใจมาก  เมื่อพิจารณาในระดับความพึงพอใจในแต่ละประเด็น  พบว่า</t>
  </si>
  <si>
    <t xml:space="preserve">ประชาชนในเขตเทศบาลตำบลบ้านสิงห์ มีความพึงพอใจมากที่สุด ค่าเฉลี่ย 3.84 อยู่ในระดับความพึงพอใจมาก คือ </t>
  </si>
  <si>
    <t>ผลการดำเนินงานโครงการ/กิจกรรมนำไปสู่การแก้ไขปัญหา และระดับรองลงมา ค่าเฉลี่ย 3.83 อยู่ในระดับความ</t>
  </si>
  <si>
    <t>พึงพอใจมาก คือการแก้ไขปัญหา และการตอบสนองความต้องการของประชาชน และประโยชน์ที่ประชาชนได้รับ</t>
  </si>
  <si>
    <t>จากการดำเนินการโครงการ/กิจกรรม</t>
  </si>
  <si>
    <t xml:space="preserve">สำหรับประเด็นที่ประชาชนมีความพึงพอใจน้อยที่สุด ค่าเฉลี่ย 3.68 อยู่ในระดับความพึงพอใจมาก คือ </t>
  </si>
  <si>
    <t>การเปิดโอกาสให้ประชาชนแสดงความคิดเห็นในโครงการ/กิจกรรม</t>
  </si>
  <si>
    <t xml:space="preserve">สำหรับประเด็นที่ประชาชนมีความพึงพอใจน้อยที่สุด ค่าเฉลี่ย 3.70 อยู่ในระดับความพึงพอใจมาก คือ </t>
  </si>
  <si>
    <t>รวม ค่าเฉลี่ย 3.78 อยู่ในระดับ พึงพอใจมาก  เมื่อพิจารณาในระดับความพึงพอใจในแต่ละประเด็น พบว่าประชาชนใน</t>
  </si>
  <si>
    <t>เขตเทศบาลตำบลบ้านสิงห์ มีความพึงพอใจมากที่สุด ค่าเฉลี่ย 3.85 อยู่ในระดับความพึงพอใจมาก คือ การแก้ไขปัญหา</t>
  </si>
  <si>
    <t>และการตอบสนองความต้องการของประชาชน และระดับรองลงมา ค่าเฉลี่ย 3.84 อยู่ในระดับความพึงพอใจมาก คือ</t>
  </si>
  <si>
    <t>ภาพรวม ค่าเฉลี่ย  3.76  อยู่ในระดับ  พึงพอใจมาก เมื่อพิจารณาในระดับความพึงพอใจในแต่ละประเด็น  พบว่า</t>
  </si>
  <si>
    <t xml:space="preserve">ประชาชนในเขตเทศบาลตำบลบ้านสิงห์ มีความพึงพอใจมากที่สุด ค่าเฉลี่ย 3.85 อยู่ในระดับความพึงพอใจมาก คือ </t>
  </si>
  <si>
    <t>การดำเนินงานเป็นไปตามระยะเวลาที่กำหนด และระดับรองลงมา ค่าเฉลี่ย 3.81 อยู่ในระดับความพึงพอใจมาก</t>
  </si>
  <si>
    <t>คือ  ผลการดำเนินงานโครงการ/กิจกรรมนำไปสู่การแก้ไขปัญหา</t>
  </si>
  <si>
    <t xml:space="preserve">สำหรับประเด็นที่ประชาชนมีความพึงพอใจน้อยที่สุด ค่าเฉลี่ย 3.71 อยู่ในระดับความพึงพอใจมาก คือ </t>
  </si>
  <si>
    <t>การประชาสัมพันธ์ให้ประชาชนรับรู้ข้อมูลโครงการ/กิจกรรม</t>
  </si>
  <si>
    <t xml:space="preserve">สำหรับประเด็นที่ประชาชนมีความพึงพอใจน้อยที่สุด ค่าเฉลี่ย 3.75 อยู่ในระดับความพึงพอใจมาก คือ </t>
  </si>
  <si>
    <t>การสำรวจความพึงพอใจของประชาชนในเขตของเทศบาลตำบลบ้านสิงห์  ต่อผลการดำเนินงานของ</t>
  </si>
  <si>
    <t>เทศบาลตำบลบ้านสิงห์ ในภาพรวมพบว่า ประชาชนในเขตเทศบาลตำบลบ้านสิงห์มีความพึงพอใจต่อผลการดำเนิน</t>
  </si>
  <si>
    <t>งานในภาพรวม ค่าเฉลี่ย 3.81 อยู่ในระดับ พึงพอใจมาก เมื่อพิจารณาในระดับความพึงพอใจในแต่ละประเด็น พบว่า</t>
  </si>
  <si>
    <t xml:space="preserve">ประชาชนในเขตเทศบาลตำบลบ้านสิงห์ มีความพึงพอใจมากที่สุด ค่าเฉลี่ย 3.87 อยู่ในระดับความพึงพอใจมาก คือ </t>
  </si>
  <si>
    <t>ผลการดำเนินงานโครงการ/กิจกรรมนำไปสู่การแก้ไขปัญหา และระดับรองลงมา ค่าเฉลี่ย 3.85 อยู่ในระดับความ</t>
  </si>
  <si>
    <t>พึงพอใจมาก คือ ประโยชน์ที่ประชาชนได้รับจากการดำเนินการโครงการ/กิจกรรม</t>
  </si>
  <si>
    <t>แก้ไขปัญหา และการตอบสนองความต้องการของประชาชน และประโยชน์ที่ประชาชนได้รับจากการดำเนินการโครงการ/</t>
  </si>
  <si>
    <t>รวมค่าเฉลี่ย 3.77 อยู่ในระดับ พึงพอใจมาก เมื่อพิจารณาในระดับความพึงพอใจในแต่ละประเด็น พบว่า  ประชาชนใน</t>
  </si>
  <si>
    <t>เขตเทศบาลตำบลบ้านสิงห์ มีความพึงพอใจมากที่สุด ค่าเฉลี่ย 3.82 อยู่ในระดับความพึงพอใจมาก คือ ผลการดำเนิน</t>
  </si>
  <si>
    <t>งานโครงการ/กิจกรรมนำไปสู่การแก้ไขปัญหา และระดับรองลงมา ค่าเฉลี่ย 3.81 อยู่ในระดับความพึงพอใจมาก คือ การ</t>
  </si>
  <si>
    <t>รวม ค่าเฉลี่ย 3.76 อยู่ในระดับ  พึงพอใจมาก เมื่อพิจารณาในระดับความพึงพอใจในแต่ละประเด็น พบว่าประชาชนใน</t>
  </si>
  <si>
    <t xml:space="preserve">งานโครงการ/กิจกรรมนำไปสู่การแก้ไขปัญหา และระดับรองลงมา ค่าเฉลี่ย 3.79 อยู่ในระดับความพึงพอใจมาก คือ </t>
  </si>
  <si>
    <t>การแก้ไขปัญหา และการตอบสนองความต้องการของประชาชน และประโยชน์ที่ประชาชนได้รับจากการดำเนินการ</t>
  </si>
  <si>
    <t xml:space="preserve">การดำเนินการโครงการ/กิจกรรม  </t>
  </si>
  <si>
    <t xml:space="preserve">ภาพรวม  ค่าเฉลี่ย  3.71  อยู่ในระดับ พึงพอใจมามาก เมื่อพิจารณาในระดับความพึงพอใจในแต่ละประเด็น  พบว่า </t>
  </si>
  <si>
    <t>การแก้ไขปัญหา และการตอบสนองความต้องการของประชาชน และระดับรองลงมา ค่าเฉลี่ย 3.81 อยู่ในระดับความ</t>
  </si>
  <si>
    <t xml:space="preserve">ประชาชนในเขตเทศบาลตำบลบ้านสิงห์ มีความพึงพอใจมากที่สุด ค่าเฉลี่ย  3.82  อยู่ในระดับความพึงพอใจมาก คือ  </t>
  </si>
  <si>
    <t>พึงพอใจมาก คือ ผลการดำเนินงานโครงการ/กิจกรรมนำไปสู่การแก้ไขปัญหา   และประโยชน์ที่ประชาชนได้รับจาก</t>
  </si>
  <si>
    <t>พึงพอใจเฉลี่ย 3.77</t>
  </si>
  <si>
    <r>
      <t>สำหรับความพึงพอใจ</t>
    </r>
    <r>
      <rPr>
        <u/>
        <sz val="16"/>
        <color theme="1"/>
        <rFont val="TH SarabunIT๙"/>
        <family val="2"/>
      </rPr>
      <t>น้อยที่สุด</t>
    </r>
    <r>
      <rPr>
        <sz val="16"/>
        <color theme="1"/>
        <rFont val="TH SarabunIT๙"/>
        <family val="2"/>
      </rPr>
      <t xml:space="preserve"> การเปิดโอกาสให้ประชาชนแสดงความคิดเห็นในโครงการ/กิจกรรม</t>
    </r>
  </si>
  <si>
    <r>
      <t xml:space="preserve">มีความพึงพอใจ   </t>
    </r>
    <r>
      <rPr>
        <u/>
        <sz val="16"/>
        <color theme="1"/>
        <rFont val="TH SarabunIT๙"/>
        <family val="2"/>
      </rPr>
      <t>มากที่สุด</t>
    </r>
    <r>
      <rPr>
        <sz val="16"/>
        <color theme="1"/>
        <rFont val="TH SarabunIT๙"/>
        <family val="2"/>
      </rPr>
      <t xml:space="preserve"> คือ ผลการดำเนินงานโครงการ/กิจกรรมนำไปสู่การแก้ไขปัญหา ความ</t>
    </r>
  </si>
  <si>
    <r>
      <t xml:space="preserve">พึงพอใจเฉลี่ย  3.83  </t>
    </r>
    <r>
      <rPr>
        <u/>
        <sz val="16"/>
        <color theme="1"/>
        <rFont val="TH SarabunIT๙"/>
        <family val="2"/>
      </rPr>
      <t>รองลงมา</t>
    </r>
    <r>
      <rPr>
        <sz val="16"/>
        <color theme="1"/>
        <rFont val="TH SarabunIT๙"/>
        <family val="2"/>
      </rPr>
      <t xml:space="preserve">  ได้แก่ การแก้ไขปัญหา และการตอบสนองความต้องการของประชาชน  และ</t>
    </r>
  </si>
  <si>
    <t>ประโยชน์ที่ประชาชนได้รับจากการดำเนินการโครงการ/กิจกรรม  ระดับความพึงพอใจ เฉลี่ย 3.82</t>
  </si>
  <si>
    <t>มีความพึงพอใจต่อการดำเนินงานของเทศบาลตำบลบ้านสิงห์ ในด้านนี้อยู่ในระดับพึงพอใจ หรือ  มีคะแนนความ</t>
  </si>
  <si>
    <t>คะแนนความพึงพอใจ  เฉลี่ย 3.70</t>
  </si>
  <si>
    <t xml:space="preserve">ยุทธศาสตร์ที่  2  การพัฒนาด้านการจัดการทรัพยากรธรรมชาติและสิ่งแวดล้อม คะแนน ความพึงพอใจ เฉลี่ย </t>
  </si>
  <si>
    <t xml:space="preserve">สำหรับประเด็นที่ประชาชนมีความพึงพอใจน้อยที่สุด ค่าเฉลี่ย 3.24 อยู่ในระดับความพึงพอใจปานกลาง  </t>
  </si>
  <si>
    <t>คือความโปร่งใสในการดำเนินโครงการ/กิจกรรม</t>
  </si>
  <si>
    <r>
      <t xml:space="preserve">เมื่อเปรียบเทียบค่าเฉลี่ยของแต่ละยุทธศาสตร์แล้ว  ยุทธศาสตร์ที่มีความพึงพอใจ  </t>
    </r>
    <r>
      <rPr>
        <u/>
        <sz val="16"/>
        <color theme="1"/>
        <rFont val="TH SarabunIT๙"/>
        <family val="2"/>
      </rPr>
      <t>มากที่สุด</t>
    </r>
    <r>
      <rPr>
        <sz val="16"/>
        <color theme="1"/>
        <rFont val="TH SarabunIT๙"/>
        <family val="2"/>
      </rPr>
      <t xml:space="preserve">  คือ             </t>
    </r>
  </si>
  <si>
    <t>ยุทธศาสตร์ที่ 4 การพัฒนาด้านระบบการศึกษาและส่งเสริมศิลปวัฒนธรรมท้องถิ่น ระดับความพึงพอใจ เฉลี่ย</t>
  </si>
  <si>
    <t xml:space="preserve">3.81  รองลงมาคือ  ยุทธศาสตร์ที่  1  การพัฒนาด้านโครงสร้างพื้นฐาน สาธารณูปโภค และสาธารณูปการ   </t>
  </si>
  <si>
    <t>ยุทธศาสตร์ที่ประชาชนมีความพึงพอใจ  น้อยที่สุด  คือ  ยุทธศาสตร์ที่  7  การพัฒนาด้าน</t>
  </si>
  <si>
    <t xml:space="preserve">ประสิทธิภาพการเมือง การบริหารและพัฒนาบุคลากรท้องถิ่น คะแนนความพึงพอใจ เฉลี่ย 3.71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</si>
</sst>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6"/>
      <color theme="1"/>
      <name val="TH SarabunPSK"/>
      <family val="2"/>
      <charset val="222"/>
    </font>
    <font>
      <b/>
      <sz val="16"/>
      <color theme="1"/>
      <name val="TH SarabunPSK"/>
      <family val="2"/>
      <charset val="222"/>
    </font>
    <font>
      <sz val="16"/>
      <color theme="1"/>
      <name val="TH SarabunIT๙"/>
      <family val="2"/>
    </font>
    <font>
      <b/>
      <sz val="16"/>
      <color theme="1"/>
      <name val="TH SarabunIT๙"/>
      <family val="2"/>
    </font>
    <font>
      <b/>
      <u/>
      <sz val="16"/>
      <color theme="1"/>
      <name val="TH SarabunIT๙"/>
      <family val="2"/>
    </font>
    <font>
      <sz val="14"/>
      <color theme="1"/>
      <name val="TH SarabunIT๙"/>
      <family val="2"/>
    </font>
    <font>
      <b/>
      <sz val="14"/>
      <color theme="1"/>
      <name val="TH SarabunPSK"/>
      <family val="2"/>
    </font>
    <font>
      <b/>
      <sz val="14"/>
      <color theme="1"/>
      <name val="TH SarabunIT๙"/>
      <family val="2"/>
    </font>
    <font>
      <sz val="18"/>
      <color theme="1"/>
      <name val="TH SarabunPSK"/>
      <family val="2"/>
      <charset val="222"/>
    </font>
    <font>
      <u/>
      <sz val="16"/>
      <color theme="1"/>
      <name val="TH SarabunIT๙"/>
      <family val="2"/>
    </font>
    <font>
      <sz val="16"/>
      <name val="TH SarabunIT๙"/>
      <family val="2"/>
    </font>
    <font>
      <sz val="16"/>
      <name val="TH SarabunPSK"/>
      <family val="2"/>
      <charset val="222"/>
    </font>
    <font>
      <b/>
      <sz val="16"/>
      <name val="TH SarabunIT๙"/>
      <family val="2"/>
    </font>
  </fonts>
  <fills count="1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38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3" fillId="0" borderId="0" xfId="0" applyFont="1"/>
    <xf numFmtId="0" fontId="2" fillId="0" borderId="0" xfId="0" applyFont="1" applyBorder="1"/>
    <xf numFmtId="0" fontId="2" fillId="0" borderId="0" xfId="0" applyFont="1" applyBorder="1" applyAlignment="1">
      <alignment vertical="center"/>
    </xf>
    <xf numFmtId="0" fontId="0" fillId="0" borderId="0" xfId="0" applyBorder="1" applyAlignment="1">
      <alignment vertical="top" wrapText="1"/>
    </xf>
    <xf numFmtId="0" fontId="2" fillId="0" borderId="0" xfId="0" applyFont="1" applyBorder="1" applyAlignment="1">
      <alignment horizontal="right" vertical="center" wrapText="1"/>
    </xf>
    <xf numFmtId="0" fontId="2" fillId="0" borderId="5" xfId="0" applyFont="1" applyBorder="1" applyAlignment="1">
      <alignment horizontal="center"/>
    </xf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4" xfId="0" applyFont="1" applyBorder="1"/>
    <xf numFmtId="0" fontId="2" fillId="0" borderId="2" xfId="0" applyFont="1" applyBorder="1"/>
    <xf numFmtId="0" fontId="2" fillId="0" borderId="14" xfId="0" applyFont="1" applyBorder="1" applyAlignment="1">
      <alignment horizontal="center"/>
    </xf>
    <xf numFmtId="0" fontId="2" fillId="0" borderId="15" xfId="0" applyFont="1" applyBorder="1"/>
    <xf numFmtId="0" fontId="2" fillId="0" borderId="1" xfId="0" applyFont="1" applyBorder="1"/>
    <xf numFmtId="0" fontId="2" fillId="0" borderId="6" xfId="0" applyFont="1" applyBorder="1" applyAlignment="1">
      <alignment horizontal="center"/>
    </xf>
    <xf numFmtId="0" fontId="2" fillId="0" borderId="15" xfId="0" applyFont="1" applyBorder="1" applyAlignment="1">
      <alignment vertical="center"/>
    </xf>
    <xf numFmtId="0" fontId="2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Border="1"/>
    <xf numFmtId="2" fontId="0" fillId="0" borderId="0" xfId="0" applyNumberFormat="1" applyBorder="1"/>
    <xf numFmtId="0" fontId="6" fillId="0" borderId="23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6" fillId="0" borderId="24" xfId="0" applyFont="1" applyBorder="1" applyAlignment="1">
      <alignment horizontal="center"/>
    </xf>
    <xf numFmtId="2" fontId="5" fillId="0" borderId="23" xfId="0" applyNumberFormat="1" applyFont="1" applyBorder="1" applyAlignment="1">
      <alignment horizontal="center"/>
    </xf>
    <xf numFmtId="1" fontId="5" fillId="0" borderId="23" xfId="0" applyNumberFormat="1" applyFont="1" applyBorder="1" applyAlignment="1">
      <alignment horizontal="center"/>
    </xf>
    <xf numFmtId="2" fontId="5" fillId="3" borderId="24" xfId="0" applyNumberFormat="1" applyFont="1" applyFill="1" applyBorder="1" applyAlignment="1">
      <alignment horizontal="center"/>
    </xf>
    <xf numFmtId="2" fontId="5" fillId="0" borderId="27" xfId="0" applyNumberFormat="1" applyFont="1" applyBorder="1" applyAlignment="1">
      <alignment horizontal="center"/>
    </xf>
    <xf numFmtId="1" fontId="5" fillId="0" borderId="27" xfId="0" applyNumberFormat="1" applyFont="1" applyBorder="1" applyAlignment="1">
      <alignment horizontal="center"/>
    </xf>
    <xf numFmtId="2" fontId="7" fillId="4" borderId="16" xfId="0" applyNumberFormat="1" applyFont="1" applyFill="1" applyBorder="1" applyAlignment="1">
      <alignment horizontal="center"/>
    </xf>
    <xf numFmtId="0" fontId="2" fillId="0" borderId="17" xfId="0" applyFont="1" applyBorder="1"/>
    <xf numFmtId="0" fontId="0" fillId="0" borderId="18" xfId="0" applyFont="1" applyBorder="1"/>
    <xf numFmtId="0" fontId="0" fillId="0" borderId="19" xfId="0" applyFont="1" applyBorder="1"/>
    <xf numFmtId="0" fontId="0" fillId="0" borderId="20" xfId="0" applyFont="1" applyBorder="1"/>
    <xf numFmtId="0" fontId="0" fillId="0" borderId="21" xfId="0" applyFont="1" applyBorder="1"/>
    <xf numFmtId="0" fontId="0" fillId="0" borderId="22" xfId="0" applyFont="1" applyBorder="1"/>
    <xf numFmtId="0" fontId="2" fillId="0" borderId="25" xfId="0" applyFont="1" applyBorder="1"/>
    <xf numFmtId="0" fontId="0" fillId="0" borderId="0" xfId="0" applyFont="1" applyBorder="1"/>
    <xf numFmtId="0" fontId="0" fillId="0" borderId="26" xfId="0" applyFont="1" applyBorder="1"/>
    <xf numFmtId="0" fontId="8" fillId="0" borderId="0" xfId="0" applyFont="1"/>
    <xf numFmtId="2" fontId="3" fillId="4" borderId="24" xfId="0" applyNumberFormat="1" applyFont="1" applyFill="1" applyBorder="1" applyAlignment="1">
      <alignment horizontal="center"/>
    </xf>
    <xf numFmtId="0" fontId="4" fillId="0" borderId="0" xfId="0" applyFont="1"/>
    <xf numFmtId="0" fontId="1" fillId="5" borderId="8" xfId="0" applyFont="1" applyFill="1" applyBorder="1" applyAlignment="1">
      <alignment horizontal="center"/>
    </xf>
    <xf numFmtId="0" fontId="5" fillId="0" borderId="0" xfId="0" applyFont="1"/>
    <xf numFmtId="0" fontId="7" fillId="0" borderId="23" xfId="0" applyFont="1" applyBorder="1" applyAlignment="1">
      <alignment horizontal="center"/>
    </xf>
    <xf numFmtId="0" fontId="7" fillId="0" borderId="24" xfId="0" applyFont="1" applyBorder="1" applyAlignment="1">
      <alignment horizontal="center"/>
    </xf>
    <xf numFmtId="0" fontId="2" fillId="0" borderId="18" xfId="0" applyFont="1" applyBorder="1"/>
    <xf numFmtId="0" fontId="2" fillId="0" borderId="19" xfId="0" applyFont="1" applyBorder="1"/>
    <xf numFmtId="0" fontId="2" fillId="0" borderId="20" xfId="0" applyFont="1" applyBorder="1"/>
    <xf numFmtId="0" fontId="2" fillId="0" borderId="21" xfId="0" applyFont="1" applyBorder="1"/>
    <xf numFmtId="0" fontId="2" fillId="0" borderId="22" xfId="0" applyFont="1" applyBorder="1"/>
    <xf numFmtId="0" fontId="2" fillId="0" borderId="26" xfId="0" applyFont="1" applyBorder="1"/>
    <xf numFmtId="2" fontId="2" fillId="3" borderId="0" xfId="0" applyNumberFormat="1" applyFont="1" applyFill="1"/>
    <xf numFmtId="2" fontId="0" fillId="0" borderId="0" xfId="0" applyNumberFormat="1"/>
    <xf numFmtId="2" fontId="2" fillId="4" borderId="0" xfId="0" applyNumberFormat="1" applyFont="1" applyFill="1"/>
    <xf numFmtId="2" fontId="2" fillId="0" borderId="0" xfId="0" applyNumberFormat="1" applyFont="1"/>
    <xf numFmtId="2" fontId="2" fillId="6" borderId="0" xfId="0" applyNumberFormat="1" applyFont="1" applyFill="1"/>
    <xf numFmtId="0" fontId="2" fillId="0" borderId="0" xfId="0" applyFont="1" applyAlignment="1">
      <alignment horizontal="right" textRotation="180"/>
    </xf>
    <xf numFmtId="2" fontId="2" fillId="0" borderId="10" xfId="0" applyNumberFormat="1" applyFont="1" applyBorder="1" applyAlignment="1">
      <alignment horizontal="center" vertical="center" wrapText="1"/>
    </xf>
    <xf numFmtId="2" fontId="2" fillId="0" borderId="12" xfId="0" applyNumberFormat="1" applyFont="1" applyBorder="1" applyAlignment="1">
      <alignment horizontal="center" vertical="center" wrapText="1"/>
    </xf>
    <xf numFmtId="2" fontId="2" fillId="0" borderId="13" xfId="0" applyNumberFormat="1" applyFont="1" applyBorder="1" applyAlignment="1">
      <alignment horizontal="center" vertical="center" wrapText="1"/>
    </xf>
    <xf numFmtId="2" fontId="2" fillId="0" borderId="11" xfId="0" applyNumberFormat="1" applyFont="1" applyBorder="1" applyAlignment="1">
      <alignment horizontal="center" vertical="center" wrapText="1"/>
    </xf>
    <xf numFmtId="2" fontId="2" fillId="0" borderId="9" xfId="0" applyNumberFormat="1" applyFont="1" applyBorder="1" applyAlignment="1">
      <alignment horizontal="center" vertical="center" wrapText="1"/>
    </xf>
    <xf numFmtId="0" fontId="10" fillId="0" borderId="0" xfId="0" applyFont="1"/>
    <xf numFmtId="0" fontId="11" fillId="0" borderId="0" xfId="0" applyFont="1"/>
    <xf numFmtId="2" fontId="7" fillId="6" borderId="16" xfId="0" applyNumberFormat="1" applyFont="1" applyFill="1" applyBorder="1" applyAlignment="1">
      <alignment horizontal="center"/>
    </xf>
    <xf numFmtId="2" fontId="2" fillId="3" borderId="24" xfId="0" applyNumberFormat="1" applyFont="1" applyFill="1" applyBorder="1" applyAlignment="1">
      <alignment horizontal="center"/>
    </xf>
    <xf numFmtId="2" fontId="7" fillId="4" borderId="24" xfId="0" applyNumberFormat="1" applyFont="1" applyFill="1" applyBorder="1" applyAlignment="1">
      <alignment horizontal="center"/>
    </xf>
    <xf numFmtId="1" fontId="7" fillId="4" borderId="16" xfId="0" applyNumberFormat="1" applyFont="1" applyFill="1" applyBorder="1" applyAlignment="1">
      <alignment horizontal="center"/>
    </xf>
    <xf numFmtId="0" fontId="3" fillId="5" borderId="8" xfId="0" applyFont="1" applyFill="1" applyBorder="1" applyAlignment="1">
      <alignment horizontal="center" vertical="center"/>
    </xf>
    <xf numFmtId="2" fontId="7" fillId="6" borderId="24" xfId="0" applyNumberFormat="1" applyFont="1" applyFill="1" applyBorder="1" applyAlignment="1">
      <alignment horizontal="center"/>
    </xf>
    <xf numFmtId="2" fontId="7" fillId="7" borderId="24" xfId="0" applyNumberFormat="1" applyFont="1" applyFill="1" applyBorder="1" applyAlignment="1">
      <alignment horizontal="center"/>
    </xf>
    <xf numFmtId="2" fontId="12" fillId="4" borderId="24" xfId="0" applyNumberFormat="1" applyFont="1" applyFill="1" applyBorder="1" applyAlignment="1">
      <alignment horizontal="center"/>
    </xf>
    <xf numFmtId="2" fontId="7" fillId="8" borderId="16" xfId="0" applyNumberFormat="1" applyFont="1" applyFill="1" applyBorder="1" applyAlignment="1">
      <alignment horizontal="center"/>
    </xf>
    <xf numFmtId="2" fontId="10" fillId="3" borderId="24" xfId="0" applyNumberFormat="1" applyFont="1" applyFill="1" applyBorder="1" applyAlignment="1">
      <alignment horizontal="center"/>
    </xf>
    <xf numFmtId="2" fontId="3" fillId="7" borderId="24" xfId="0" applyNumberFormat="1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2" fontId="2" fillId="4" borderId="24" xfId="0" applyNumberFormat="1" applyFont="1" applyFill="1" applyBorder="1" applyAlignment="1">
      <alignment horizontal="center"/>
    </xf>
    <xf numFmtId="0" fontId="2" fillId="0" borderId="0" xfId="0" applyFont="1" applyAlignment="1">
      <alignment horizontal="left"/>
    </xf>
    <xf numFmtId="2" fontId="7" fillId="9" borderId="24" xfId="0" applyNumberFormat="1" applyFont="1" applyFill="1" applyBorder="1" applyAlignment="1">
      <alignment horizontal="center"/>
    </xf>
    <xf numFmtId="2" fontId="3" fillId="9" borderId="24" xfId="0" applyNumberFormat="1" applyFont="1" applyFill="1" applyBorder="1" applyAlignment="1">
      <alignment horizontal="center"/>
    </xf>
    <xf numFmtId="2" fontId="7" fillId="5" borderId="24" xfId="0" applyNumberFormat="1" applyFont="1" applyFill="1" applyBorder="1" applyAlignment="1">
      <alignment horizontal="center"/>
    </xf>
    <xf numFmtId="2" fontId="3" fillId="5" borderId="24" xfId="0" applyNumberFormat="1" applyFont="1" applyFill="1" applyBorder="1" applyAlignment="1">
      <alignment horizontal="center"/>
    </xf>
    <xf numFmtId="2" fontId="5" fillId="9" borderId="24" xfId="0" applyNumberFormat="1" applyFont="1" applyFill="1" applyBorder="1" applyAlignment="1">
      <alignment horizontal="center"/>
    </xf>
    <xf numFmtId="0" fontId="10" fillId="0" borderId="0" xfId="0" applyFont="1" applyAlignment="1">
      <alignment horizontal="left"/>
    </xf>
    <xf numFmtId="0" fontId="3" fillId="2" borderId="0" xfId="0" applyFont="1" applyFill="1" applyAlignment="1">
      <alignment horizontal="center"/>
    </xf>
    <xf numFmtId="0" fontId="3" fillId="0" borderId="0" xfId="0" applyFont="1" applyAlignment="1">
      <alignment horizontal="left" vertical="center"/>
    </xf>
    <xf numFmtId="0" fontId="2" fillId="0" borderId="0" xfId="0" quotePrefix="1" applyFont="1" applyAlignment="1">
      <alignment horizontal="right"/>
    </xf>
    <xf numFmtId="0" fontId="3" fillId="5" borderId="3" xfId="0" applyFont="1" applyFill="1" applyBorder="1" applyAlignment="1">
      <alignment horizontal="center"/>
    </xf>
    <xf numFmtId="0" fontId="0" fillId="0" borderId="17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19" xfId="0" applyFont="1" applyBorder="1" applyAlignment="1">
      <alignment horizontal="center" vertical="center"/>
    </xf>
    <xf numFmtId="0" fontId="0" fillId="0" borderId="20" xfId="0" applyFont="1" applyBorder="1" applyAlignment="1">
      <alignment horizontal="center" vertical="center"/>
    </xf>
    <xf numFmtId="0" fontId="0" fillId="0" borderId="21" xfId="0" applyFont="1" applyBorder="1" applyAlignment="1">
      <alignment horizontal="center" vertical="center"/>
    </xf>
    <xf numFmtId="0" fontId="0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2" fontId="5" fillId="0" borderId="23" xfId="0" applyNumberFormat="1" applyFont="1" applyBorder="1" applyAlignment="1">
      <alignment horizontal="center" vertical="center"/>
    </xf>
    <xf numFmtId="2" fontId="5" fillId="0" borderId="24" xfId="0" applyNumberFormat="1" applyFont="1" applyBorder="1" applyAlignment="1">
      <alignment horizontal="center" vertical="center"/>
    </xf>
    <xf numFmtId="2" fontId="7" fillId="0" borderId="23" xfId="0" applyNumberFormat="1" applyFont="1" applyBorder="1" applyAlignment="1">
      <alignment horizontal="center" vertical="center"/>
    </xf>
    <xf numFmtId="2" fontId="7" fillId="0" borderId="24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left"/>
    </xf>
    <xf numFmtId="0" fontId="3" fillId="5" borderId="0" xfId="0" applyFont="1" applyFill="1" applyAlignment="1">
      <alignment horizontal="center" vertical="center"/>
    </xf>
    <xf numFmtId="2" fontId="3" fillId="9" borderId="23" xfId="0" applyNumberFormat="1" applyFont="1" applyFill="1" applyBorder="1" applyAlignment="1">
      <alignment horizontal="center" vertical="center"/>
    </xf>
    <xf numFmtId="2" fontId="3" fillId="9" borderId="24" xfId="0" applyNumberFormat="1" applyFont="1" applyFill="1" applyBorder="1" applyAlignment="1">
      <alignment horizontal="center" vertical="center"/>
    </xf>
    <xf numFmtId="2" fontId="2" fillId="0" borderId="23" xfId="0" applyNumberFormat="1" applyFont="1" applyBorder="1" applyAlignment="1">
      <alignment horizontal="center" vertical="center"/>
    </xf>
    <xf numFmtId="2" fontId="2" fillId="0" borderId="24" xfId="0" applyNumberFormat="1" applyFont="1" applyBorder="1" applyAlignment="1">
      <alignment horizontal="center" vertical="center"/>
    </xf>
    <xf numFmtId="2" fontId="5" fillId="0" borderId="27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2" fontId="7" fillId="0" borderId="10" xfId="0" applyNumberFormat="1" applyFont="1" applyBorder="1" applyAlignment="1">
      <alignment horizontal="center" vertical="center"/>
    </xf>
    <xf numFmtId="2" fontId="7" fillId="0" borderId="12" xfId="0" applyNumberFormat="1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9" borderId="23" xfId="0" applyFont="1" applyFill="1" applyBorder="1" applyAlignment="1">
      <alignment horizontal="center" vertical="center"/>
    </xf>
    <xf numFmtId="0" fontId="7" fillId="9" borderId="24" xfId="0" applyFont="1" applyFill="1" applyBorder="1" applyAlignment="1">
      <alignment horizontal="center" vertical="center"/>
    </xf>
    <xf numFmtId="2" fontId="2" fillId="0" borderId="27" xfId="0" applyNumberFormat="1" applyFont="1" applyBorder="1" applyAlignment="1">
      <alignment horizontal="center" vertical="center"/>
    </xf>
    <xf numFmtId="2" fontId="3" fillId="9" borderId="27" xfId="0" applyNumberFormat="1" applyFont="1" applyFill="1" applyBorder="1" applyAlignment="1">
      <alignment horizontal="center" vertical="center"/>
    </xf>
    <xf numFmtId="2" fontId="3" fillId="2" borderId="10" xfId="0" applyNumberFormat="1" applyFont="1" applyFill="1" applyBorder="1" applyAlignment="1">
      <alignment horizontal="center" vertical="center"/>
    </xf>
    <xf numFmtId="2" fontId="3" fillId="2" borderId="12" xfId="0" applyNumberFormat="1" applyFont="1" applyFill="1" applyBorder="1" applyAlignment="1">
      <alignment horizontal="center" vertical="center"/>
    </xf>
    <xf numFmtId="2" fontId="3" fillId="9" borderId="10" xfId="0" applyNumberFormat="1" applyFont="1" applyFill="1" applyBorder="1" applyAlignment="1">
      <alignment horizontal="center" vertical="center"/>
    </xf>
    <xf numFmtId="2" fontId="3" fillId="9" borderId="12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247650</xdr:colOff>
      <xdr:row>6</xdr:row>
      <xdr:rowOff>200025</xdr:rowOff>
    </xdr:from>
    <xdr:to>
      <xdr:col>8</xdr:col>
      <xdr:colOff>438150</xdr:colOff>
      <xdr:row>6</xdr:row>
      <xdr:rowOff>209550</xdr:rowOff>
    </xdr:to>
    <xdr:cxnSp macro="">
      <xdr:nvCxnSpPr>
        <xdr:cNvPr id="10" name="ตัวเชื่อมต่อตรง 9"/>
        <xdr:cNvCxnSpPr/>
      </xdr:nvCxnSpPr>
      <xdr:spPr>
        <a:xfrm flipV="1">
          <a:off x="5629275" y="1000125"/>
          <a:ext cx="190500" cy="9525"/>
        </a:xfrm>
        <a:prstGeom prst="lin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247650</xdr:colOff>
      <xdr:row>8</xdr:row>
      <xdr:rowOff>200025</xdr:rowOff>
    </xdr:from>
    <xdr:to>
      <xdr:col>8</xdr:col>
      <xdr:colOff>438150</xdr:colOff>
      <xdr:row>8</xdr:row>
      <xdr:rowOff>209550</xdr:rowOff>
    </xdr:to>
    <xdr:cxnSp macro="">
      <xdr:nvCxnSpPr>
        <xdr:cNvPr id="2" name="ตัวเชื่อมต่อตรง 1"/>
        <xdr:cNvCxnSpPr/>
      </xdr:nvCxnSpPr>
      <xdr:spPr>
        <a:xfrm flipV="1">
          <a:off x="5629275" y="1266825"/>
          <a:ext cx="190500" cy="9525"/>
        </a:xfrm>
        <a:prstGeom prst="lin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247650</xdr:colOff>
      <xdr:row>47</xdr:row>
      <xdr:rowOff>200025</xdr:rowOff>
    </xdr:from>
    <xdr:to>
      <xdr:col>8</xdr:col>
      <xdr:colOff>438150</xdr:colOff>
      <xdr:row>47</xdr:row>
      <xdr:rowOff>209550</xdr:rowOff>
    </xdr:to>
    <xdr:cxnSp macro="">
      <xdr:nvCxnSpPr>
        <xdr:cNvPr id="3" name="ตัวเชื่อมต่อตรง 2"/>
        <xdr:cNvCxnSpPr/>
      </xdr:nvCxnSpPr>
      <xdr:spPr>
        <a:xfrm flipV="1">
          <a:off x="5591175" y="2009775"/>
          <a:ext cx="190500" cy="9525"/>
        </a:xfrm>
        <a:prstGeom prst="lin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209550</xdr:colOff>
      <xdr:row>87</xdr:row>
      <xdr:rowOff>200026</xdr:rowOff>
    </xdr:from>
    <xdr:to>
      <xdr:col>8</xdr:col>
      <xdr:colOff>438150</xdr:colOff>
      <xdr:row>87</xdr:row>
      <xdr:rowOff>219075</xdr:rowOff>
    </xdr:to>
    <xdr:cxnSp macro="">
      <xdr:nvCxnSpPr>
        <xdr:cNvPr id="4" name="ตัวเชื่อมต่อตรง 3"/>
        <xdr:cNvCxnSpPr/>
      </xdr:nvCxnSpPr>
      <xdr:spPr>
        <a:xfrm flipV="1">
          <a:off x="5553075" y="23050501"/>
          <a:ext cx="228600" cy="19049"/>
        </a:xfrm>
        <a:prstGeom prst="lin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247650</xdr:colOff>
      <xdr:row>127</xdr:row>
      <xdr:rowOff>200025</xdr:rowOff>
    </xdr:from>
    <xdr:to>
      <xdr:col>8</xdr:col>
      <xdr:colOff>438150</xdr:colOff>
      <xdr:row>127</xdr:row>
      <xdr:rowOff>209550</xdr:rowOff>
    </xdr:to>
    <xdr:cxnSp macro="">
      <xdr:nvCxnSpPr>
        <xdr:cNvPr id="5" name="ตัวเชื่อมต่อตรง 4"/>
        <xdr:cNvCxnSpPr/>
      </xdr:nvCxnSpPr>
      <xdr:spPr>
        <a:xfrm flipV="1">
          <a:off x="5591175" y="2009775"/>
          <a:ext cx="190500" cy="9525"/>
        </a:xfrm>
        <a:prstGeom prst="lin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247650</xdr:colOff>
      <xdr:row>167</xdr:row>
      <xdr:rowOff>200025</xdr:rowOff>
    </xdr:from>
    <xdr:to>
      <xdr:col>8</xdr:col>
      <xdr:colOff>438150</xdr:colOff>
      <xdr:row>167</xdr:row>
      <xdr:rowOff>209550</xdr:rowOff>
    </xdr:to>
    <xdr:cxnSp macro="">
      <xdr:nvCxnSpPr>
        <xdr:cNvPr id="6" name="ตัวเชื่อมต่อตรง 5"/>
        <xdr:cNvCxnSpPr/>
      </xdr:nvCxnSpPr>
      <xdr:spPr>
        <a:xfrm flipV="1">
          <a:off x="5591175" y="2009775"/>
          <a:ext cx="190500" cy="9525"/>
        </a:xfrm>
        <a:prstGeom prst="lin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247650</xdr:colOff>
      <xdr:row>209</xdr:row>
      <xdr:rowOff>200025</xdr:rowOff>
    </xdr:from>
    <xdr:to>
      <xdr:col>8</xdr:col>
      <xdr:colOff>438150</xdr:colOff>
      <xdr:row>209</xdr:row>
      <xdr:rowOff>209550</xdr:rowOff>
    </xdr:to>
    <xdr:cxnSp macro="">
      <xdr:nvCxnSpPr>
        <xdr:cNvPr id="7" name="ตัวเชื่อมต่อตรง 6"/>
        <xdr:cNvCxnSpPr/>
      </xdr:nvCxnSpPr>
      <xdr:spPr>
        <a:xfrm flipV="1">
          <a:off x="5591175" y="44119800"/>
          <a:ext cx="190500" cy="9525"/>
        </a:xfrm>
        <a:prstGeom prst="lin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200025</xdr:colOff>
      <xdr:row>249</xdr:row>
      <xdr:rowOff>228600</xdr:rowOff>
    </xdr:from>
    <xdr:to>
      <xdr:col>8</xdr:col>
      <xdr:colOff>438150</xdr:colOff>
      <xdr:row>249</xdr:row>
      <xdr:rowOff>228601</xdr:rowOff>
    </xdr:to>
    <xdr:cxnSp macro="">
      <xdr:nvCxnSpPr>
        <xdr:cNvPr id="8" name="ตัวเชื่อมต่อตรง 7"/>
        <xdr:cNvCxnSpPr/>
      </xdr:nvCxnSpPr>
      <xdr:spPr>
        <a:xfrm flipV="1">
          <a:off x="5543550" y="66017775"/>
          <a:ext cx="238125" cy="1"/>
        </a:xfrm>
        <a:prstGeom prst="lin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247650</xdr:colOff>
      <xdr:row>8</xdr:row>
      <xdr:rowOff>200025</xdr:rowOff>
    </xdr:from>
    <xdr:to>
      <xdr:col>8</xdr:col>
      <xdr:colOff>438150</xdr:colOff>
      <xdr:row>8</xdr:row>
      <xdr:rowOff>209550</xdr:rowOff>
    </xdr:to>
    <xdr:cxnSp macro="">
      <xdr:nvCxnSpPr>
        <xdr:cNvPr id="9" name="ตัวเชื่อมต่อตรง 8"/>
        <xdr:cNvCxnSpPr/>
      </xdr:nvCxnSpPr>
      <xdr:spPr>
        <a:xfrm flipV="1">
          <a:off x="5591175" y="55587900"/>
          <a:ext cx="190500" cy="9525"/>
        </a:xfrm>
        <a:prstGeom prst="lin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304800</xdr:colOff>
      <xdr:row>3</xdr:row>
      <xdr:rowOff>200025</xdr:rowOff>
    </xdr:from>
    <xdr:to>
      <xdr:col>10</xdr:col>
      <xdr:colOff>495300</xdr:colOff>
      <xdr:row>3</xdr:row>
      <xdr:rowOff>209550</xdr:rowOff>
    </xdr:to>
    <xdr:cxnSp macro="">
      <xdr:nvCxnSpPr>
        <xdr:cNvPr id="2" name="ตัวเชื่อมต่อตรง 1"/>
        <xdr:cNvCxnSpPr/>
      </xdr:nvCxnSpPr>
      <xdr:spPr>
        <a:xfrm flipV="1">
          <a:off x="8972550" y="733425"/>
          <a:ext cx="190500" cy="9525"/>
        </a:xfrm>
        <a:prstGeom prst="lin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1"/>
  <sheetViews>
    <sheetView topLeftCell="A43" workbookViewId="0">
      <selection activeCell="I44" sqref="I44"/>
    </sheetView>
  </sheetViews>
  <sheetFormatPr defaultRowHeight="21" x14ac:dyDescent="0.35"/>
  <cols>
    <col min="1" max="1" width="3.875" customWidth="1"/>
    <col min="8" max="8" width="5.375" customWidth="1"/>
    <col min="9" max="9" width="12.125" customWidth="1"/>
    <col min="10" max="10" width="15.125" customWidth="1"/>
  </cols>
  <sheetData>
    <row r="1" spans="1:11" x14ac:dyDescent="0.35">
      <c r="J1" s="1">
        <v>100</v>
      </c>
    </row>
    <row r="2" spans="1:11" x14ac:dyDescent="0.35">
      <c r="A2" s="91" t="s">
        <v>79</v>
      </c>
      <c r="B2" s="91"/>
      <c r="C2" s="91"/>
      <c r="D2" s="91"/>
      <c r="E2" s="91"/>
      <c r="F2" s="91"/>
      <c r="G2" s="91"/>
      <c r="H2" s="91"/>
      <c r="I2" s="91"/>
      <c r="J2" s="91"/>
    </row>
    <row r="3" spans="1:11" x14ac:dyDescent="0.35">
      <c r="A3" s="91" t="s">
        <v>0</v>
      </c>
      <c r="B3" s="91"/>
      <c r="C3" s="91"/>
      <c r="D3" s="91"/>
      <c r="E3" s="91"/>
      <c r="F3" s="91"/>
      <c r="G3" s="91"/>
      <c r="H3" s="91"/>
      <c r="I3" s="91"/>
      <c r="J3" s="91"/>
    </row>
    <row r="4" spans="1:11" x14ac:dyDescent="0.35">
      <c r="A4" s="1"/>
      <c r="B4" s="1"/>
      <c r="C4" s="1"/>
      <c r="D4" s="1"/>
      <c r="E4" s="1"/>
      <c r="F4" s="1"/>
      <c r="G4" s="1"/>
      <c r="H4" s="1"/>
      <c r="I4" s="1"/>
    </row>
    <row r="5" spans="1:11" x14ac:dyDescent="0.35">
      <c r="A5" s="1" t="s">
        <v>80</v>
      </c>
      <c r="B5" s="1"/>
      <c r="C5" s="1"/>
      <c r="D5" s="1"/>
      <c r="E5" s="1"/>
      <c r="F5" s="1"/>
      <c r="G5" s="1"/>
      <c r="H5" s="1"/>
      <c r="I5" s="1"/>
    </row>
    <row r="6" spans="1:11" x14ac:dyDescent="0.35">
      <c r="A6" s="1" t="s">
        <v>1</v>
      </c>
      <c r="B6" s="1"/>
      <c r="C6" s="1"/>
      <c r="D6" s="1"/>
      <c r="E6" s="1"/>
      <c r="F6" s="1"/>
      <c r="G6" s="1"/>
      <c r="H6" s="1"/>
      <c r="I6" s="1"/>
    </row>
    <row r="7" spans="1:11" x14ac:dyDescent="0.35">
      <c r="A7" s="1" t="s">
        <v>125</v>
      </c>
      <c r="B7" s="1"/>
      <c r="C7" s="1"/>
      <c r="D7" s="1"/>
      <c r="E7" s="1"/>
      <c r="F7" s="1"/>
      <c r="G7" s="1"/>
      <c r="H7" s="1"/>
      <c r="I7" s="1"/>
    </row>
    <row r="8" spans="1:11" x14ac:dyDescent="0.35">
      <c r="A8" s="92" t="s">
        <v>2</v>
      </c>
      <c r="B8" s="92"/>
      <c r="C8" s="92"/>
      <c r="D8" s="92"/>
      <c r="E8" s="92"/>
      <c r="F8" s="92"/>
      <c r="G8" s="92"/>
      <c r="H8" s="92"/>
      <c r="I8" s="92"/>
      <c r="J8" s="92"/>
    </row>
    <row r="9" spans="1:11" x14ac:dyDescent="0.35">
      <c r="A9" s="1" t="s">
        <v>81</v>
      </c>
      <c r="B9" s="1"/>
      <c r="C9" s="1"/>
      <c r="D9" s="1"/>
      <c r="E9" s="1"/>
      <c r="F9" s="1"/>
      <c r="G9" s="1"/>
      <c r="H9" s="1"/>
      <c r="I9" s="1"/>
    </row>
    <row r="10" spans="1:11" ht="21.75" thickBot="1" x14ac:dyDescent="0.4">
      <c r="A10" s="1"/>
      <c r="B10" s="1"/>
      <c r="C10" s="1"/>
      <c r="D10" s="1"/>
      <c r="E10" s="1"/>
      <c r="F10" s="1"/>
      <c r="G10" s="1"/>
      <c r="H10" s="1"/>
      <c r="I10" s="93" t="s">
        <v>126</v>
      </c>
      <c r="J10" s="93"/>
    </row>
    <row r="11" spans="1:11" ht="18.95" customHeight="1" thickBot="1" x14ac:dyDescent="0.4">
      <c r="A11" s="94" t="s">
        <v>3</v>
      </c>
      <c r="B11" s="94"/>
      <c r="C11" s="94"/>
      <c r="D11" s="94"/>
      <c r="E11" s="94"/>
      <c r="F11" s="94"/>
      <c r="G11" s="94"/>
      <c r="H11" s="94"/>
      <c r="I11" s="74" t="s">
        <v>5</v>
      </c>
      <c r="J11" s="47" t="s">
        <v>4</v>
      </c>
    </row>
    <row r="12" spans="1:11" ht="18.95" customHeight="1" x14ac:dyDescent="0.35">
      <c r="A12" s="14">
        <v>1</v>
      </c>
      <c r="B12" s="15" t="s">
        <v>6</v>
      </c>
      <c r="C12" s="15" t="s">
        <v>7</v>
      </c>
      <c r="D12" s="15"/>
      <c r="E12" s="15"/>
      <c r="F12" s="15"/>
      <c r="G12" s="15"/>
      <c r="H12" s="16"/>
      <c r="I12" s="19">
        <v>166</v>
      </c>
      <c r="J12" s="63">
        <f t="shared" ref="J12:J19" si="0">I12*100/360</f>
        <v>46.111111111111114</v>
      </c>
      <c r="K12" s="58">
        <f>J12+J13</f>
        <v>100</v>
      </c>
    </row>
    <row r="13" spans="1:11" ht="18.95" customHeight="1" thickBot="1" x14ac:dyDescent="0.4">
      <c r="A13" s="17"/>
      <c r="B13" s="11"/>
      <c r="C13" s="11" t="s">
        <v>8</v>
      </c>
      <c r="D13" s="11"/>
      <c r="E13" s="11"/>
      <c r="F13" s="11"/>
      <c r="G13" s="11"/>
      <c r="H13" s="13"/>
      <c r="I13" s="20">
        <v>194</v>
      </c>
      <c r="J13" s="64">
        <f t="shared" si="0"/>
        <v>53.888888888888886</v>
      </c>
    </row>
    <row r="14" spans="1:11" ht="18.95" customHeight="1" x14ac:dyDescent="0.35">
      <c r="A14" s="14">
        <v>2</v>
      </c>
      <c r="B14" s="15" t="s">
        <v>9</v>
      </c>
      <c r="C14" s="18" t="s">
        <v>10</v>
      </c>
      <c r="D14" s="15"/>
      <c r="E14" s="15"/>
      <c r="F14" s="15"/>
      <c r="G14" s="15"/>
      <c r="H14" s="16"/>
      <c r="I14" s="22">
        <v>15</v>
      </c>
      <c r="J14" s="65">
        <f t="shared" si="0"/>
        <v>4.166666666666667</v>
      </c>
    </row>
    <row r="15" spans="1:11" ht="18.95" customHeight="1" x14ac:dyDescent="0.35">
      <c r="A15" s="8"/>
      <c r="B15" s="4"/>
      <c r="C15" s="5" t="s">
        <v>11</v>
      </c>
      <c r="D15" s="4"/>
      <c r="E15" s="4"/>
      <c r="F15" s="4"/>
      <c r="G15" s="4"/>
      <c r="H15" s="12"/>
      <c r="I15" s="22">
        <v>55</v>
      </c>
      <c r="J15" s="65">
        <f t="shared" si="0"/>
        <v>15.277777777777779</v>
      </c>
    </row>
    <row r="16" spans="1:11" ht="18.95" customHeight="1" x14ac:dyDescent="0.35">
      <c r="A16" s="8"/>
      <c r="B16" s="4"/>
      <c r="C16" s="5" t="s">
        <v>12</v>
      </c>
      <c r="D16" s="4"/>
      <c r="E16" s="4"/>
      <c r="F16" s="4"/>
      <c r="G16" s="4"/>
      <c r="H16" s="12"/>
      <c r="I16" s="22">
        <v>56</v>
      </c>
      <c r="J16" s="65">
        <f t="shared" si="0"/>
        <v>15.555555555555555</v>
      </c>
    </row>
    <row r="17" spans="1:11" ht="18.95" customHeight="1" x14ac:dyDescent="0.35">
      <c r="A17" s="8"/>
      <c r="B17" s="4"/>
      <c r="C17" s="4" t="s">
        <v>13</v>
      </c>
      <c r="D17" s="4"/>
      <c r="E17" s="4"/>
      <c r="F17" s="4"/>
      <c r="G17" s="4"/>
      <c r="H17" s="12"/>
      <c r="I17" s="22">
        <v>85</v>
      </c>
      <c r="J17" s="65">
        <f t="shared" si="0"/>
        <v>23.611111111111111</v>
      </c>
    </row>
    <row r="18" spans="1:11" ht="18.95" customHeight="1" x14ac:dyDescent="0.35">
      <c r="A18" s="8"/>
      <c r="B18" s="4"/>
      <c r="C18" s="4" t="s">
        <v>14</v>
      </c>
      <c r="D18" s="4"/>
      <c r="E18" s="4"/>
      <c r="F18" s="4"/>
      <c r="G18" s="4"/>
      <c r="H18" s="12"/>
      <c r="I18" s="22">
        <v>86</v>
      </c>
      <c r="J18" s="65">
        <f t="shared" si="0"/>
        <v>23.888888888888889</v>
      </c>
      <c r="K18">
        <f>SUM(I14:I19)</f>
        <v>360</v>
      </c>
    </row>
    <row r="19" spans="1:11" ht="18.95" customHeight="1" thickBot="1" x14ac:dyDescent="0.4">
      <c r="A19" s="17"/>
      <c r="B19" s="11"/>
      <c r="C19" s="11" t="s">
        <v>15</v>
      </c>
      <c r="D19" s="11"/>
      <c r="E19" s="11"/>
      <c r="F19" s="11"/>
      <c r="G19" s="11"/>
      <c r="H19" s="13"/>
      <c r="I19" s="20">
        <v>63</v>
      </c>
      <c r="J19" s="66">
        <f t="shared" si="0"/>
        <v>17.5</v>
      </c>
      <c r="K19" s="58">
        <f>SUM(J14:J19)</f>
        <v>100</v>
      </c>
    </row>
    <row r="20" spans="1:11" ht="18.95" customHeight="1" x14ac:dyDescent="0.35">
      <c r="A20" s="14">
        <v>3</v>
      </c>
      <c r="B20" s="15" t="s">
        <v>16</v>
      </c>
      <c r="C20" s="15"/>
      <c r="D20" s="15"/>
      <c r="E20" s="15"/>
      <c r="F20" s="15"/>
      <c r="G20" s="15"/>
      <c r="H20" s="16"/>
      <c r="I20" s="19"/>
      <c r="J20" s="67"/>
    </row>
    <row r="21" spans="1:11" ht="18.95" customHeight="1" x14ac:dyDescent="0.35">
      <c r="A21" s="8"/>
      <c r="B21" s="4" t="s">
        <v>17</v>
      </c>
      <c r="C21" s="4"/>
      <c r="D21" s="4"/>
      <c r="E21" s="4"/>
      <c r="F21" s="4"/>
      <c r="G21" s="4"/>
      <c r="H21" s="12"/>
      <c r="I21" s="22">
        <v>109</v>
      </c>
      <c r="J21" s="65">
        <f t="shared" ref="J21:J26" si="1">I21*100/360</f>
        <v>30.277777777777779</v>
      </c>
    </row>
    <row r="22" spans="1:11" ht="18.95" customHeight="1" x14ac:dyDescent="0.35">
      <c r="A22" s="8"/>
      <c r="B22" s="4" t="s">
        <v>18</v>
      </c>
      <c r="C22" s="4"/>
      <c r="D22" s="4"/>
      <c r="E22" s="4"/>
      <c r="F22" s="4"/>
      <c r="G22" s="4"/>
      <c r="H22" s="12"/>
      <c r="I22" s="22">
        <v>91</v>
      </c>
      <c r="J22" s="65">
        <f t="shared" si="1"/>
        <v>25.277777777777779</v>
      </c>
    </row>
    <row r="23" spans="1:11" ht="18.95" customHeight="1" x14ac:dyDescent="0.35">
      <c r="A23" s="8"/>
      <c r="B23" s="4" t="s">
        <v>19</v>
      </c>
      <c r="C23" s="4"/>
      <c r="D23" s="4"/>
      <c r="E23" s="4"/>
      <c r="F23" s="4"/>
      <c r="G23" s="4"/>
      <c r="H23" s="12"/>
      <c r="I23" s="22">
        <v>80</v>
      </c>
      <c r="J23" s="65">
        <f t="shared" si="1"/>
        <v>22.222222222222221</v>
      </c>
    </row>
    <row r="24" spans="1:11" ht="18.95" customHeight="1" x14ac:dyDescent="0.35">
      <c r="A24" s="8"/>
      <c r="B24" s="4" t="s">
        <v>20</v>
      </c>
      <c r="C24" s="4"/>
      <c r="D24" s="4"/>
      <c r="E24" s="4"/>
      <c r="F24" s="4"/>
      <c r="G24" s="4"/>
      <c r="H24" s="12"/>
      <c r="I24" s="22">
        <v>38</v>
      </c>
      <c r="J24" s="65">
        <f t="shared" si="1"/>
        <v>10.555555555555555</v>
      </c>
    </row>
    <row r="25" spans="1:11" ht="18.95" customHeight="1" x14ac:dyDescent="0.35">
      <c r="A25" s="8"/>
      <c r="B25" s="4" t="s">
        <v>21</v>
      </c>
      <c r="C25" s="4"/>
      <c r="D25" s="4"/>
      <c r="E25" s="4"/>
      <c r="F25" s="4"/>
      <c r="G25" s="4"/>
      <c r="H25" s="12"/>
      <c r="I25" s="22">
        <v>36</v>
      </c>
      <c r="J25" s="65">
        <f t="shared" si="1"/>
        <v>10</v>
      </c>
      <c r="K25">
        <f>SUM(I21:I26)</f>
        <v>360</v>
      </c>
    </row>
    <row r="26" spans="1:11" ht="18.95" customHeight="1" thickBot="1" x14ac:dyDescent="0.4">
      <c r="A26" s="10"/>
      <c r="B26" s="11" t="s">
        <v>22</v>
      </c>
      <c r="C26" s="11"/>
      <c r="D26" s="11"/>
      <c r="E26" s="11"/>
      <c r="F26" s="11"/>
      <c r="G26" s="11"/>
      <c r="H26" s="13"/>
      <c r="I26" s="20">
        <v>6</v>
      </c>
      <c r="J26" s="66">
        <f t="shared" si="1"/>
        <v>1.6666666666666667</v>
      </c>
      <c r="K26" s="58">
        <f>SUM(J21:J26)</f>
        <v>100</v>
      </c>
    </row>
    <row r="27" spans="1:11" ht="18.95" customHeight="1" x14ac:dyDescent="0.35">
      <c r="A27" s="14">
        <v>4</v>
      </c>
      <c r="B27" s="15" t="s">
        <v>82</v>
      </c>
      <c r="C27" s="15"/>
      <c r="D27" s="15"/>
      <c r="E27" s="15"/>
      <c r="F27" s="15"/>
      <c r="G27" s="15"/>
      <c r="H27" s="16"/>
      <c r="I27" s="22"/>
      <c r="J27" s="65"/>
    </row>
    <row r="28" spans="1:11" ht="18.95" customHeight="1" x14ac:dyDescent="0.35">
      <c r="A28" s="9"/>
      <c r="B28" s="1" t="s">
        <v>83</v>
      </c>
      <c r="C28" s="4"/>
      <c r="D28" s="4"/>
      <c r="E28" s="4"/>
      <c r="F28" s="4"/>
      <c r="G28" s="4"/>
      <c r="H28" s="12"/>
      <c r="I28" s="22">
        <v>20</v>
      </c>
      <c r="J28" s="65">
        <f t="shared" ref="J28:J35" si="2">I28*100/360</f>
        <v>5.5555555555555554</v>
      </c>
    </row>
    <row r="29" spans="1:11" ht="18.95" customHeight="1" x14ac:dyDescent="0.35">
      <c r="A29" s="9"/>
      <c r="B29" s="1" t="s">
        <v>84</v>
      </c>
      <c r="C29" s="4"/>
      <c r="D29" s="4"/>
      <c r="E29" s="4"/>
      <c r="F29" s="4"/>
      <c r="G29" s="4"/>
      <c r="H29" s="12"/>
      <c r="I29" s="22">
        <v>21</v>
      </c>
      <c r="J29" s="65">
        <f t="shared" si="2"/>
        <v>5.833333333333333</v>
      </c>
    </row>
    <row r="30" spans="1:11" ht="18.95" customHeight="1" x14ac:dyDescent="0.35">
      <c r="A30" s="9"/>
      <c r="B30" s="1" t="s">
        <v>85</v>
      </c>
      <c r="C30" s="4"/>
      <c r="D30" s="4"/>
      <c r="E30" s="4"/>
      <c r="F30" s="4"/>
      <c r="G30" s="4"/>
      <c r="H30" s="12"/>
      <c r="I30" s="22">
        <v>86</v>
      </c>
      <c r="J30" s="65">
        <f t="shared" si="2"/>
        <v>23.888888888888889</v>
      </c>
    </row>
    <row r="31" spans="1:11" ht="18.95" customHeight="1" x14ac:dyDescent="0.35">
      <c r="A31" s="9"/>
      <c r="B31" s="1" t="s">
        <v>86</v>
      </c>
      <c r="C31" s="4"/>
      <c r="D31" s="4"/>
      <c r="E31" s="4"/>
      <c r="F31" s="4"/>
      <c r="G31" s="4"/>
      <c r="H31" s="12"/>
      <c r="I31" s="22">
        <v>126</v>
      </c>
      <c r="J31" s="65">
        <f t="shared" si="2"/>
        <v>35</v>
      </c>
    </row>
    <row r="32" spans="1:11" ht="18.95" customHeight="1" x14ac:dyDescent="0.35">
      <c r="A32" s="9"/>
      <c r="B32" s="1" t="s">
        <v>87</v>
      </c>
      <c r="C32" s="4"/>
      <c r="D32" s="4"/>
      <c r="E32" s="4"/>
      <c r="F32" s="4"/>
      <c r="G32" s="4"/>
      <c r="H32" s="12"/>
      <c r="I32" s="22">
        <v>29</v>
      </c>
      <c r="J32" s="65">
        <f t="shared" si="2"/>
        <v>8.0555555555555554</v>
      </c>
    </row>
    <row r="33" spans="1:11" ht="18.95" customHeight="1" x14ac:dyDescent="0.35">
      <c r="A33" s="9"/>
      <c r="B33" s="1" t="s">
        <v>88</v>
      </c>
      <c r="C33" s="4"/>
      <c r="D33" s="4"/>
      <c r="E33" s="4"/>
      <c r="F33" s="4"/>
      <c r="G33" s="4"/>
      <c r="H33" s="12"/>
      <c r="I33" s="22">
        <v>70</v>
      </c>
      <c r="J33" s="65">
        <f t="shared" si="2"/>
        <v>19.444444444444443</v>
      </c>
    </row>
    <row r="34" spans="1:11" ht="18.95" customHeight="1" x14ac:dyDescent="0.35">
      <c r="A34" s="9"/>
      <c r="B34" s="1" t="s">
        <v>107</v>
      </c>
      <c r="C34" s="4"/>
      <c r="D34" s="4"/>
      <c r="E34" s="4"/>
      <c r="F34" s="4"/>
      <c r="G34" s="4"/>
      <c r="H34" s="12"/>
      <c r="I34" s="22">
        <v>4</v>
      </c>
      <c r="J34" s="65">
        <f t="shared" si="2"/>
        <v>1.1111111111111112</v>
      </c>
      <c r="K34">
        <f>SUM(I28:I35)</f>
        <v>360</v>
      </c>
    </row>
    <row r="35" spans="1:11" ht="18.95" customHeight="1" thickBot="1" x14ac:dyDescent="0.4">
      <c r="A35" s="10"/>
      <c r="B35" s="11" t="s">
        <v>89</v>
      </c>
      <c r="C35" s="11"/>
      <c r="D35" s="11"/>
      <c r="E35" s="11"/>
      <c r="F35" s="11"/>
      <c r="G35" s="11"/>
      <c r="H35" s="13"/>
      <c r="I35" s="21">
        <v>4</v>
      </c>
      <c r="J35" s="64">
        <f t="shared" si="2"/>
        <v>1.1111111111111112</v>
      </c>
      <c r="K35" s="58">
        <f>SUM(J28:J35)</f>
        <v>100</v>
      </c>
    </row>
    <row r="36" spans="1:11" ht="18.95" customHeight="1" x14ac:dyDescent="0.35">
      <c r="A36" s="1"/>
      <c r="B36" s="1"/>
      <c r="C36" s="1"/>
      <c r="D36" s="1"/>
      <c r="E36" s="1"/>
      <c r="F36" s="1"/>
      <c r="G36" s="1"/>
      <c r="H36" s="1"/>
      <c r="I36" s="6"/>
      <c r="J36" s="7"/>
    </row>
    <row r="37" spans="1:11" ht="18.95" customHeight="1" x14ac:dyDescent="0.35">
      <c r="A37" s="68"/>
      <c r="B37" s="68" t="s">
        <v>127</v>
      </c>
      <c r="C37" s="68"/>
      <c r="D37" s="68"/>
      <c r="E37" s="68"/>
      <c r="F37" s="68"/>
      <c r="G37" s="68"/>
      <c r="H37" s="68"/>
      <c r="I37" s="68"/>
      <c r="J37" s="69"/>
    </row>
    <row r="38" spans="1:11" ht="18.95" customHeight="1" x14ac:dyDescent="0.35">
      <c r="A38" s="68" t="s">
        <v>128</v>
      </c>
      <c r="B38" s="68"/>
      <c r="C38" s="68"/>
      <c r="D38" s="68"/>
      <c r="E38" s="68"/>
      <c r="F38" s="68"/>
      <c r="G38" s="68"/>
      <c r="H38" s="68"/>
      <c r="I38" s="69"/>
      <c r="J38" s="69"/>
    </row>
    <row r="39" spans="1:11" ht="18.95" customHeight="1" x14ac:dyDescent="0.35">
      <c r="A39" s="90" t="s">
        <v>129</v>
      </c>
      <c r="B39" s="90"/>
      <c r="C39" s="90"/>
      <c r="D39" s="90"/>
      <c r="E39" s="90"/>
      <c r="F39" s="90"/>
      <c r="G39" s="90"/>
      <c r="H39" s="90"/>
      <c r="I39" s="90"/>
      <c r="J39" s="90"/>
    </row>
    <row r="40" spans="1:11" ht="18.95" customHeight="1" x14ac:dyDescent="0.35">
      <c r="A40" s="90" t="s">
        <v>130</v>
      </c>
      <c r="B40" s="90"/>
      <c r="C40" s="90"/>
      <c r="D40" s="90"/>
      <c r="E40" s="90"/>
      <c r="F40" s="90"/>
      <c r="G40" s="90"/>
      <c r="H40" s="90"/>
      <c r="I40" s="90"/>
      <c r="J40" s="90"/>
    </row>
    <row r="41" spans="1:11" ht="18.95" customHeight="1" x14ac:dyDescent="0.35">
      <c r="A41" s="68" t="s">
        <v>131</v>
      </c>
      <c r="B41" s="68"/>
      <c r="C41" s="68"/>
      <c r="D41" s="68"/>
      <c r="E41" s="68"/>
      <c r="F41" s="68"/>
      <c r="G41" s="68"/>
      <c r="H41" s="68"/>
      <c r="I41" s="68"/>
      <c r="J41" s="69"/>
    </row>
    <row r="42" spans="1:11" x14ac:dyDescent="0.35">
      <c r="A42" s="1"/>
      <c r="B42" s="1"/>
      <c r="C42" s="1"/>
      <c r="D42" s="1"/>
      <c r="E42" s="1"/>
      <c r="F42" s="1"/>
      <c r="G42" s="1"/>
      <c r="H42" s="1"/>
      <c r="I42" s="1"/>
    </row>
    <row r="43" spans="1:11" x14ac:dyDescent="0.35">
      <c r="A43" s="1"/>
      <c r="B43" s="1"/>
      <c r="C43" s="1"/>
      <c r="D43" s="1"/>
      <c r="E43" s="1"/>
      <c r="F43" s="1"/>
      <c r="G43" s="1"/>
      <c r="H43" s="1"/>
      <c r="I43" s="1"/>
    </row>
    <row r="44" spans="1:11" x14ac:dyDescent="0.35">
      <c r="A44" s="1"/>
      <c r="B44" s="1"/>
      <c r="C44" s="1"/>
      <c r="D44" s="1"/>
      <c r="E44" s="1"/>
      <c r="F44" s="1"/>
      <c r="G44" s="1"/>
      <c r="H44" s="1"/>
      <c r="I44" s="1"/>
    </row>
    <row r="45" spans="1:11" x14ac:dyDescent="0.35">
      <c r="A45" s="1"/>
      <c r="B45" s="1"/>
      <c r="C45" s="1"/>
      <c r="D45" s="1"/>
      <c r="E45" s="1"/>
      <c r="F45" s="1"/>
      <c r="G45" s="1"/>
      <c r="H45" s="1"/>
      <c r="I45" s="1"/>
    </row>
    <row r="46" spans="1:11" x14ac:dyDescent="0.35">
      <c r="A46" s="1"/>
      <c r="B46" s="1"/>
      <c r="C46" s="1"/>
      <c r="D46" s="1"/>
      <c r="E46" s="1"/>
      <c r="F46" s="1"/>
      <c r="G46" s="1" t="s">
        <v>53</v>
      </c>
      <c r="H46" s="1"/>
      <c r="I46" s="1"/>
    </row>
    <row r="47" spans="1:11" x14ac:dyDescent="0.35">
      <c r="A47" s="1"/>
      <c r="B47" s="1"/>
      <c r="C47" s="1"/>
      <c r="D47" s="1"/>
      <c r="E47" s="1"/>
      <c r="F47" s="1"/>
      <c r="G47" s="1"/>
      <c r="H47" s="1"/>
      <c r="I47" s="1"/>
    </row>
    <row r="48" spans="1:11" x14ac:dyDescent="0.35">
      <c r="A48" s="1"/>
      <c r="B48" s="1"/>
      <c r="C48" s="1"/>
      <c r="D48" s="1"/>
      <c r="E48" s="1"/>
      <c r="F48" s="1"/>
      <c r="G48" s="1"/>
      <c r="H48" s="1"/>
      <c r="I48" s="1"/>
    </row>
    <row r="49" spans="1:9" x14ac:dyDescent="0.35">
      <c r="A49" s="1"/>
      <c r="B49" s="1"/>
      <c r="C49" s="1"/>
      <c r="D49" s="1"/>
      <c r="E49" s="1"/>
      <c r="F49" s="1"/>
      <c r="G49" s="1"/>
      <c r="H49" s="1"/>
      <c r="I49" s="1"/>
    </row>
    <row r="50" spans="1:9" x14ac:dyDescent="0.35">
      <c r="A50" s="1"/>
      <c r="B50" s="1"/>
      <c r="C50" s="1"/>
      <c r="D50" s="1"/>
      <c r="E50" s="1"/>
      <c r="F50" s="1"/>
      <c r="G50" s="1"/>
      <c r="H50" s="1"/>
      <c r="I50" s="1"/>
    </row>
    <row r="51" spans="1:9" x14ac:dyDescent="0.35">
      <c r="A51" s="1"/>
      <c r="B51" s="1"/>
      <c r="C51" s="1"/>
      <c r="D51" s="1"/>
      <c r="E51" s="1"/>
      <c r="F51" s="1"/>
      <c r="G51" s="1"/>
      <c r="H51" s="1"/>
      <c r="I51" s="1"/>
    </row>
    <row r="52" spans="1:9" x14ac:dyDescent="0.35">
      <c r="A52" s="1"/>
      <c r="B52" s="1"/>
      <c r="C52" s="1"/>
      <c r="D52" s="1"/>
      <c r="E52" s="1"/>
      <c r="F52" s="1"/>
      <c r="G52" s="1"/>
      <c r="H52" s="1"/>
      <c r="I52" s="1"/>
    </row>
    <row r="53" spans="1:9" x14ac:dyDescent="0.35">
      <c r="A53" s="1"/>
      <c r="B53" s="1"/>
      <c r="C53" s="1"/>
      <c r="D53" s="1"/>
      <c r="E53" s="1"/>
      <c r="F53" s="1"/>
      <c r="G53" s="1"/>
      <c r="H53" s="1"/>
      <c r="I53" s="1"/>
    </row>
    <row r="54" spans="1:9" x14ac:dyDescent="0.35">
      <c r="A54" s="1"/>
      <c r="B54" s="1"/>
      <c r="C54" s="1"/>
      <c r="D54" s="1"/>
      <c r="E54" s="1"/>
      <c r="F54" s="1"/>
      <c r="G54" s="1"/>
      <c r="H54" s="1"/>
      <c r="I54" s="1"/>
    </row>
    <row r="55" spans="1:9" x14ac:dyDescent="0.35">
      <c r="A55" s="1"/>
      <c r="B55" s="1"/>
      <c r="C55" s="1"/>
      <c r="D55" s="1"/>
      <c r="E55" s="1"/>
      <c r="F55" s="1"/>
      <c r="G55" s="1"/>
      <c r="H55" s="1"/>
      <c r="I55" s="1"/>
    </row>
    <row r="56" spans="1:9" x14ac:dyDescent="0.35">
      <c r="A56" s="1"/>
      <c r="B56" s="1"/>
      <c r="C56" s="1"/>
      <c r="D56" s="1"/>
      <c r="E56" s="1"/>
      <c r="F56" s="1"/>
      <c r="G56" s="1"/>
      <c r="H56" s="1"/>
      <c r="I56" s="1"/>
    </row>
    <row r="57" spans="1:9" x14ac:dyDescent="0.35">
      <c r="A57" s="1"/>
      <c r="B57" s="1"/>
      <c r="C57" s="1"/>
      <c r="D57" s="1"/>
      <c r="E57" s="1"/>
      <c r="F57" s="1"/>
      <c r="G57" s="1"/>
      <c r="H57" s="1"/>
      <c r="I57" s="1"/>
    </row>
    <row r="58" spans="1:9" x14ac:dyDescent="0.35">
      <c r="A58" s="1"/>
      <c r="B58" s="1"/>
      <c r="C58" s="1"/>
      <c r="D58" s="1"/>
      <c r="E58" s="1"/>
      <c r="F58" s="1"/>
      <c r="G58" s="1"/>
      <c r="H58" s="1"/>
      <c r="I58" s="1"/>
    </row>
    <row r="59" spans="1:9" x14ac:dyDescent="0.35">
      <c r="A59" s="1"/>
      <c r="B59" s="1"/>
      <c r="C59" s="1"/>
      <c r="D59" s="1"/>
      <c r="E59" s="1"/>
      <c r="F59" s="1"/>
      <c r="G59" s="1"/>
      <c r="H59" s="1"/>
      <c r="I59" s="1"/>
    </row>
    <row r="60" spans="1:9" x14ac:dyDescent="0.35">
      <c r="A60" s="1"/>
      <c r="B60" s="1"/>
      <c r="C60" s="1"/>
      <c r="D60" s="1"/>
      <c r="E60" s="1"/>
      <c r="F60" s="1"/>
      <c r="G60" s="1"/>
      <c r="H60" s="1"/>
      <c r="I60" s="1"/>
    </row>
    <row r="61" spans="1:9" x14ac:dyDescent="0.35">
      <c r="A61" s="1"/>
      <c r="B61" s="1"/>
      <c r="C61" s="1"/>
      <c r="D61" s="1"/>
      <c r="E61" s="1"/>
      <c r="F61" s="1"/>
      <c r="G61" s="1"/>
      <c r="H61" s="1"/>
      <c r="I61" s="1"/>
    </row>
    <row r="62" spans="1:9" x14ac:dyDescent="0.35">
      <c r="A62" s="1"/>
      <c r="B62" s="1"/>
      <c r="C62" s="1"/>
      <c r="D62" s="1"/>
      <c r="E62" s="1"/>
      <c r="F62" s="1"/>
      <c r="G62" s="1"/>
      <c r="H62" s="1"/>
      <c r="I62" s="1"/>
    </row>
    <row r="63" spans="1:9" x14ac:dyDescent="0.35">
      <c r="A63" s="1"/>
      <c r="B63" s="1"/>
      <c r="C63" s="1"/>
      <c r="D63" s="1"/>
      <c r="E63" s="1"/>
      <c r="F63" s="1"/>
      <c r="G63" s="1"/>
      <c r="H63" s="1"/>
      <c r="I63" s="1"/>
    </row>
    <row r="64" spans="1:9" x14ac:dyDescent="0.35">
      <c r="A64" s="1"/>
      <c r="B64" s="1"/>
      <c r="C64" s="1"/>
      <c r="D64" s="1"/>
      <c r="E64" s="1"/>
      <c r="F64" s="1"/>
      <c r="G64" s="1"/>
      <c r="H64" s="1"/>
      <c r="I64" s="1"/>
    </row>
    <row r="65" spans="1:9" x14ac:dyDescent="0.35">
      <c r="A65" s="1"/>
      <c r="B65" s="1"/>
      <c r="C65" s="1"/>
      <c r="D65" s="1"/>
      <c r="E65" s="1"/>
      <c r="F65" s="1"/>
      <c r="G65" s="1"/>
      <c r="H65" s="1"/>
      <c r="I65" s="1"/>
    </row>
    <row r="66" spans="1:9" x14ac:dyDescent="0.35">
      <c r="A66" s="1"/>
      <c r="B66" s="1"/>
      <c r="C66" s="1"/>
      <c r="D66" s="1"/>
      <c r="E66" s="1"/>
      <c r="F66" s="1"/>
      <c r="G66" s="1"/>
      <c r="H66" s="1"/>
      <c r="I66" s="1"/>
    </row>
    <row r="67" spans="1:9" x14ac:dyDescent="0.35">
      <c r="A67" s="1"/>
      <c r="B67" s="1"/>
      <c r="C67" s="1"/>
      <c r="D67" s="1"/>
      <c r="E67" s="1"/>
      <c r="F67" s="1"/>
      <c r="G67" s="1"/>
      <c r="H67" s="1"/>
      <c r="I67" s="1"/>
    </row>
    <row r="68" spans="1:9" x14ac:dyDescent="0.35">
      <c r="A68" s="1"/>
      <c r="B68" s="1"/>
      <c r="C68" s="1"/>
      <c r="D68" s="1"/>
      <c r="E68" s="1"/>
      <c r="F68" s="1"/>
      <c r="G68" s="1"/>
      <c r="H68" s="1"/>
      <c r="I68" s="1"/>
    </row>
    <row r="69" spans="1:9" x14ac:dyDescent="0.35">
      <c r="A69" s="1"/>
      <c r="B69" s="1"/>
      <c r="C69" s="1"/>
      <c r="D69" s="1"/>
      <c r="E69" s="1"/>
      <c r="F69" s="1"/>
      <c r="G69" s="1"/>
      <c r="H69" s="1"/>
      <c r="I69" s="1"/>
    </row>
    <row r="70" spans="1:9" x14ac:dyDescent="0.35">
      <c r="A70" s="1"/>
      <c r="B70" s="1"/>
      <c r="C70" s="1"/>
      <c r="D70" s="1"/>
      <c r="E70" s="1"/>
      <c r="F70" s="1"/>
      <c r="G70" s="1"/>
      <c r="H70" s="1"/>
      <c r="I70" s="1"/>
    </row>
    <row r="71" spans="1:9" x14ac:dyDescent="0.35">
      <c r="A71" s="1"/>
      <c r="B71" s="1"/>
      <c r="C71" s="1"/>
      <c r="D71" s="1"/>
      <c r="E71" s="1"/>
      <c r="F71" s="1"/>
      <c r="G71" s="1"/>
      <c r="H71" s="1"/>
      <c r="I71" s="1"/>
    </row>
    <row r="72" spans="1:9" x14ac:dyDescent="0.35">
      <c r="A72" s="1"/>
      <c r="B72" s="1"/>
      <c r="C72" s="1"/>
      <c r="D72" s="1"/>
      <c r="E72" s="1"/>
      <c r="F72" s="1"/>
      <c r="G72" s="1"/>
      <c r="H72" s="1"/>
      <c r="I72" s="1"/>
    </row>
    <row r="73" spans="1:9" x14ac:dyDescent="0.35">
      <c r="A73" s="1"/>
      <c r="B73" s="1"/>
      <c r="C73" s="1"/>
      <c r="D73" s="1"/>
      <c r="E73" s="1"/>
      <c r="F73" s="1"/>
      <c r="G73" s="1"/>
      <c r="H73" s="1"/>
      <c r="I73" s="1"/>
    </row>
    <row r="74" spans="1:9" x14ac:dyDescent="0.35">
      <c r="A74" s="1"/>
      <c r="B74" s="1"/>
      <c r="C74" s="1"/>
      <c r="D74" s="1"/>
      <c r="E74" s="1"/>
      <c r="F74" s="1"/>
      <c r="G74" s="1"/>
      <c r="H74" s="1"/>
      <c r="I74" s="1"/>
    </row>
    <row r="75" spans="1:9" x14ac:dyDescent="0.35">
      <c r="A75" s="1"/>
      <c r="B75" s="1"/>
      <c r="C75" s="1"/>
      <c r="D75" s="1"/>
      <c r="E75" s="1"/>
      <c r="F75" s="1"/>
      <c r="G75" s="1"/>
      <c r="H75" s="1"/>
      <c r="I75" s="1"/>
    </row>
    <row r="76" spans="1:9" x14ac:dyDescent="0.35">
      <c r="A76" s="1"/>
      <c r="B76" s="1"/>
      <c r="C76" s="1"/>
      <c r="D76" s="1"/>
      <c r="E76" s="1"/>
      <c r="F76" s="1"/>
      <c r="G76" s="1"/>
      <c r="H76" s="1"/>
      <c r="I76" s="1"/>
    </row>
    <row r="77" spans="1:9" x14ac:dyDescent="0.35">
      <c r="A77" s="1"/>
      <c r="B77" s="1"/>
      <c r="C77" s="1"/>
      <c r="D77" s="1"/>
      <c r="E77" s="1"/>
      <c r="F77" s="1"/>
      <c r="G77" s="1"/>
      <c r="H77" s="1"/>
      <c r="I77" s="1"/>
    </row>
    <row r="78" spans="1:9" x14ac:dyDescent="0.35">
      <c r="A78" s="1"/>
      <c r="B78" s="1"/>
      <c r="C78" s="1"/>
      <c r="D78" s="1"/>
      <c r="E78" s="1"/>
      <c r="F78" s="1"/>
      <c r="G78" s="1"/>
      <c r="H78" s="1"/>
      <c r="I78" s="1"/>
    </row>
    <row r="79" spans="1:9" x14ac:dyDescent="0.35">
      <c r="A79" s="1"/>
      <c r="B79" s="1"/>
      <c r="C79" s="1"/>
      <c r="D79" s="1"/>
      <c r="E79" s="1"/>
      <c r="F79" s="1"/>
      <c r="G79" s="1"/>
      <c r="H79" s="1"/>
      <c r="I79" s="1"/>
    </row>
    <row r="80" spans="1:9" x14ac:dyDescent="0.35">
      <c r="A80" s="1"/>
      <c r="B80" s="1"/>
      <c r="C80" s="1"/>
      <c r="D80" s="1"/>
      <c r="E80" s="1"/>
      <c r="F80" s="1"/>
      <c r="G80" s="1"/>
      <c r="H80" s="1"/>
      <c r="I80" s="1"/>
    </row>
    <row r="81" spans="1:9" x14ac:dyDescent="0.35">
      <c r="A81" s="1"/>
      <c r="B81" s="1"/>
      <c r="C81" s="1"/>
      <c r="D81" s="1"/>
      <c r="E81" s="1"/>
      <c r="F81" s="1"/>
      <c r="G81" s="1"/>
      <c r="H81" s="1"/>
      <c r="I81" s="1"/>
    </row>
    <row r="82" spans="1:9" x14ac:dyDescent="0.35">
      <c r="A82" s="1"/>
      <c r="B82" s="1"/>
      <c r="C82" s="1"/>
      <c r="D82" s="1"/>
      <c r="E82" s="1"/>
      <c r="F82" s="1"/>
      <c r="G82" s="1"/>
      <c r="H82" s="1"/>
      <c r="I82" s="1"/>
    </row>
    <row r="83" spans="1:9" x14ac:dyDescent="0.35">
      <c r="A83" s="1"/>
      <c r="B83" s="1"/>
      <c r="C83" s="1"/>
      <c r="D83" s="1"/>
      <c r="E83" s="1"/>
      <c r="F83" s="1"/>
      <c r="G83" s="1"/>
      <c r="H83" s="1"/>
      <c r="I83" s="1"/>
    </row>
    <row r="84" spans="1:9" x14ac:dyDescent="0.35">
      <c r="A84" s="1"/>
      <c r="B84" s="1"/>
      <c r="C84" s="1"/>
      <c r="D84" s="1"/>
      <c r="E84" s="1"/>
      <c r="F84" s="1"/>
      <c r="G84" s="1"/>
      <c r="H84" s="1"/>
      <c r="I84" s="1"/>
    </row>
    <row r="85" spans="1:9" x14ac:dyDescent="0.35">
      <c r="A85" s="1"/>
      <c r="B85" s="1"/>
      <c r="C85" s="1"/>
      <c r="D85" s="1"/>
      <c r="E85" s="1"/>
      <c r="F85" s="1"/>
      <c r="G85" s="1"/>
      <c r="H85" s="1"/>
      <c r="I85" s="1"/>
    </row>
    <row r="86" spans="1:9" x14ac:dyDescent="0.35">
      <c r="A86" s="1"/>
      <c r="B86" s="1"/>
      <c r="C86" s="1"/>
      <c r="D86" s="1"/>
      <c r="E86" s="1"/>
      <c r="F86" s="1"/>
      <c r="G86" s="1"/>
      <c r="H86" s="1"/>
      <c r="I86" s="1"/>
    </row>
    <row r="87" spans="1:9" x14ac:dyDescent="0.35">
      <c r="A87" s="1"/>
      <c r="B87" s="1"/>
      <c r="C87" s="1"/>
      <c r="D87" s="1"/>
      <c r="E87" s="1"/>
      <c r="F87" s="1"/>
      <c r="G87" s="1"/>
      <c r="H87" s="1"/>
      <c r="I87" s="1"/>
    </row>
    <row r="88" spans="1:9" x14ac:dyDescent="0.35">
      <c r="A88" s="1"/>
      <c r="B88" s="1"/>
      <c r="C88" s="1"/>
      <c r="D88" s="1"/>
      <c r="E88" s="1"/>
      <c r="F88" s="1"/>
      <c r="G88" s="1"/>
      <c r="H88" s="1"/>
      <c r="I88" s="1"/>
    </row>
    <row r="89" spans="1:9" x14ac:dyDescent="0.35">
      <c r="A89" s="1"/>
      <c r="B89" s="1"/>
      <c r="C89" s="1"/>
      <c r="D89" s="1"/>
      <c r="E89" s="1"/>
      <c r="F89" s="1"/>
      <c r="G89" s="1"/>
      <c r="H89" s="1"/>
      <c r="I89" s="1"/>
    </row>
    <row r="90" spans="1:9" x14ac:dyDescent="0.35">
      <c r="A90" s="1"/>
      <c r="B90" s="1"/>
      <c r="C90" s="1"/>
      <c r="D90" s="1"/>
      <c r="E90" s="1"/>
      <c r="F90" s="1"/>
      <c r="G90" s="1"/>
      <c r="H90" s="1"/>
      <c r="I90" s="1"/>
    </row>
    <row r="91" spans="1:9" x14ac:dyDescent="0.35">
      <c r="A91" s="1"/>
      <c r="B91" s="1"/>
      <c r="C91" s="1"/>
      <c r="D91" s="1"/>
      <c r="E91" s="1"/>
      <c r="F91" s="1"/>
      <c r="G91" s="1"/>
      <c r="H91" s="1"/>
      <c r="I91" s="1"/>
    </row>
    <row r="92" spans="1:9" x14ac:dyDescent="0.35">
      <c r="A92" s="1"/>
      <c r="B92" s="1"/>
      <c r="C92" s="1"/>
      <c r="D92" s="1"/>
      <c r="E92" s="1"/>
      <c r="F92" s="1"/>
      <c r="G92" s="1"/>
      <c r="H92" s="1"/>
      <c r="I92" s="1"/>
    </row>
    <row r="93" spans="1:9" x14ac:dyDescent="0.35">
      <c r="A93" s="1"/>
      <c r="B93" s="1"/>
      <c r="C93" s="1"/>
      <c r="D93" s="1"/>
      <c r="E93" s="1"/>
      <c r="F93" s="1"/>
      <c r="G93" s="1"/>
      <c r="H93" s="1"/>
      <c r="I93" s="1"/>
    </row>
    <row r="94" spans="1:9" x14ac:dyDescent="0.35">
      <c r="A94" s="1"/>
      <c r="B94" s="1"/>
      <c r="C94" s="1"/>
      <c r="D94" s="1"/>
      <c r="E94" s="1"/>
      <c r="F94" s="1"/>
      <c r="G94" s="1"/>
      <c r="H94" s="1"/>
      <c r="I94" s="1"/>
    </row>
    <row r="95" spans="1:9" x14ac:dyDescent="0.35">
      <c r="A95" s="1"/>
      <c r="B95" s="1"/>
      <c r="C95" s="1"/>
      <c r="D95" s="1"/>
      <c r="E95" s="1"/>
      <c r="F95" s="1"/>
      <c r="G95" s="1"/>
      <c r="H95" s="1"/>
      <c r="I95" s="1"/>
    </row>
    <row r="96" spans="1:9" x14ac:dyDescent="0.35">
      <c r="A96" s="1"/>
      <c r="B96" s="1"/>
      <c r="C96" s="1"/>
      <c r="D96" s="1"/>
      <c r="E96" s="1"/>
      <c r="F96" s="1"/>
      <c r="G96" s="1"/>
      <c r="H96" s="1"/>
      <c r="I96" s="1"/>
    </row>
    <row r="97" spans="1:9" x14ac:dyDescent="0.35">
      <c r="A97" s="1"/>
      <c r="B97" s="1"/>
      <c r="C97" s="1"/>
      <c r="D97" s="1"/>
      <c r="E97" s="1"/>
      <c r="F97" s="1"/>
      <c r="G97" s="1"/>
      <c r="H97" s="1"/>
      <c r="I97" s="1"/>
    </row>
    <row r="98" spans="1:9" x14ac:dyDescent="0.35">
      <c r="A98" s="1"/>
      <c r="B98" s="1"/>
      <c r="C98" s="1"/>
      <c r="D98" s="1"/>
      <c r="E98" s="1"/>
      <c r="F98" s="1"/>
      <c r="G98" s="1"/>
      <c r="H98" s="1"/>
      <c r="I98" s="1"/>
    </row>
    <row r="99" spans="1:9" x14ac:dyDescent="0.35">
      <c r="A99" s="1"/>
      <c r="B99" s="1"/>
      <c r="C99" s="1"/>
      <c r="D99" s="1"/>
      <c r="E99" s="1"/>
      <c r="F99" s="1"/>
      <c r="G99" s="1"/>
      <c r="H99" s="1"/>
      <c r="I99" s="1"/>
    </row>
    <row r="100" spans="1:9" x14ac:dyDescent="0.35">
      <c r="A100" s="1"/>
      <c r="B100" s="1"/>
      <c r="C100" s="1"/>
      <c r="D100" s="1"/>
      <c r="E100" s="1"/>
      <c r="F100" s="1"/>
      <c r="G100" s="1"/>
      <c r="H100" s="1"/>
      <c r="I100" s="1"/>
    </row>
    <row r="101" spans="1:9" x14ac:dyDescent="0.35">
      <c r="A101" s="1"/>
      <c r="B101" s="1"/>
      <c r="C101" s="1"/>
      <c r="D101" s="1"/>
      <c r="E101" s="1"/>
      <c r="F101" s="1"/>
      <c r="G101" s="1"/>
      <c r="H101" s="1"/>
      <c r="I101" s="1"/>
    </row>
    <row r="102" spans="1:9" x14ac:dyDescent="0.35">
      <c r="A102" s="1"/>
      <c r="B102" s="1"/>
      <c r="C102" s="1"/>
      <c r="D102" s="1"/>
      <c r="E102" s="1"/>
      <c r="F102" s="1"/>
      <c r="G102" s="1"/>
      <c r="H102" s="1"/>
      <c r="I102" s="1"/>
    </row>
    <row r="103" spans="1:9" x14ac:dyDescent="0.35">
      <c r="A103" s="1"/>
      <c r="B103" s="1"/>
      <c r="C103" s="1"/>
      <c r="D103" s="1"/>
      <c r="E103" s="1"/>
      <c r="F103" s="1"/>
      <c r="G103" s="1"/>
      <c r="H103" s="1"/>
      <c r="I103" s="1"/>
    </row>
    <row r="104" spans="1:9" x14ac:dyDescent="0.35">
      <c r="A104" s="1"/>
      <c r="B104" s="1"/>
      <c r="C104" s="1"/>
      <c r="D104" s="1"/>
      <c r="E104" s="1"/>
      <c r="F104" s="1"/>
      <c r="G104" s="1"/>
      <c r="H104" s="1"/>
      <c r="I104" s="1"/>
    </row>
    <row r="105" spans="1:9" x14ac:dyDescent="0.35">
      <c r="A105" s="1"/>
      <c r="B105" s="1"/>
      <c r="C105" s="1"/>
      <c r="D105" s="1"/>
      <c r="E105" s="1"/>
      <c r="F105" s="1"/>
      <c r="G105" s="1"/>
      <c r="H105" s="1"/>
      <c r="I105" s="1"/>
    </row>
    <row r="106" spans="1:9" x14ac:dyDescent="0.35">
      <c r="A106" s="1"/>
      <c r="B106" s="1"/>
      <c r="C106" s="1"/>
      <c r="D106" s="1"/>
      <c r="E106" s="1"/>
      <c r="F106" s="1"/>
      <c r="G106" s="1"/>
      <c r="H106" s="1"/>
      <c r="I106" s="1"/>
    </row>
    <row r="107" spans="1:9" x14ac:dyDescent="0.35">
      <c r="A107" s="1"/>
      <c r="B107" s="1"/>
      <c r="C107" s="1"/>
      <c r="D107" s="1"/>
      <c r="E107" s="1"/>
      <c r="F107" s="1"/>
      <c r="G107" s="1"/>
      <c r="H107" s="1"/>
      <c r="I107" s="1"/>
    </row>
    <row r="108" spans="1:9" x14ac:dyDescent="0.35">
      <c r="A108" s="1"/>
      <c r="B108" s="1"/>
      <c r="C108" s="1"/>
      <c r="D108" s="1"/>
      <c r="E108" s="1"/>
      <c r="F108" s="1"/>
      <c r="G108" s="1"/>
      <c r="H108" s="1"/>
      <c r="I108" s="1"/>
    </row>
    <row r="109" spans="1:9" x14ac:dyDescent="0.35">
      <c r="A109" s="1"/>
      <c r="B109" s="1"/>
      <c r="C109" s="1"/>
      <c r="D109" s="1"/>
      <c r="E109" s="1"/>
      <c r="F109" s="1"/>
      <c r="G109" s="1"/>
      <c r="H109" s="1"/>
      <c r="I109" s="1"/>
    </row>
    <row r="110" spans="1:9" x14ac:dyDescent="0.35">
      <c r="A110" s="1"/>
      <c r="B110" s="1"/>
      <c r="C110" s="1"/>
      <c r="D110" s="1"/>
      <c r="E110" s="1"/>
      <c r="F110" s="1"/>
      <c r="G110" s="1"/>
      <c r="H110" s="1"/>
      <c r="I110" s="1"/>
    </row>
    <row r="111" spans="1:9" x14ac:dyDescent="0.35">
      <c r="A111" s="1"/>
      <c r="B111" s="1"/>
      <c r="C111" s="1"/>
      <c r="D111" s="1"/>
      <c r="E111" s="1"/>
      <c r="F111" s="1"/>
      <c r="G111" s="1"/>
      <c r="H111" s="1"/>
      <c r="I111" s="1"/>
    </row>
    <row r="112" spans="1:9" x14ac:dyDescent="0.35">
      <c r="A112" s="1"/>
      <c r="B112" s="1"/>
      <c r="C112" s="1"/>
      <c r="D112" s="1"/>
      <c r="E112" s="1"/>
      <c r="F112" s="1"/>
      <c r="G112" s="1"/>
      <c r="H112" s="1"/>
      <c r="I112" s="1"/>
    </row>
    <row r="113" spans="1:9" x14ac:dyDescent="0.35">
      <c r="A113" s="1"/>
      <c r="B113" s="1"/>
      <c r="C113" s="1"/>
      <c r="D113" s="1"/>
      <c r="E113" s="1"/>
      <c r="F113" s="1"/>
      <c r="G113" s="1"/>
      <c r="H113" s="1"/>
      <c r="I113" s="1"/>
    </row>
    <row r="114" spans="1:9" x14ac:dyDescent="0.35">
      <c r="A114" s="1"/>
      <c r="B114" s="1"/>
      <c r="C114" s="1"/>
      <c r="D114" s="1"/>
      <c r="E114" s="1"/>
      <c r="F114" s="1"/>
      <c r="G114" s="1"/>
      <c r="H114" s="1"/>
      <c r="I114" s="1"/>
    </row>
    <row r="115" spans="1:9" x14ac:dyDescent="0.35">
      <c r="A115" s="1"/>
      <c r="B115" s="1"/>
      <c r="C115" s="1"/>
      <c r="D115" s="1"/>
      <c r="E115" s="1"/>
      <c r="F115" s="1"/>
      <c r="G115" s="1"/>
      <c r="H115" s="1"/>
      <c r="I115" s="1"/>
    </row>
    <row r="116" spans="1:9" x14ac:dyDescent="0.35">
      <c r="A116" s="1"/>
      <c r="B116" s="1"/>
      <c r="C116" s="1"/>
      <c r="D116" s="1"/>
      <c r="E116" s="1"/>
      <c r="F116" s="1"/>
      <c r="G116" s="1"/>
      <c r="H116" s="1"/>
      <c r="I116" s="1"/>
    </row>
    <row r="117" spans="1:9" x14ac:dyDescent="0.35">
      <c r="A117" s="1"/>
      <c r="B117" s="1"/>
      <c r="C117" s="1"/>
      <c r="D117" s="1"/>
      <c r="E117" s="1"/>
      <c r="F117" s="1"/>
      <c r="G117" s="1"/>
      <c r="H117" s="1"/>
      <c r="I117" s="1"/>
    </row>
    <row r="118" spans="1:9" x14ac:dyDescent="0.35">
      <c r="A118" s="1"/>
      <c r="B118" s="1"/>
      <c r="C118" s="1"/>
      <c r="D118" s="1"/>
      <c r="E118" s="1"/>
      <c r="F118" s="1"/>
      <c r="G118" s="1"/>
      <c r="H118" s="1"/>
      <c r="I118" s="1"/>
    </row>
    <row r="119" spans="1:9" x14ac:dyDescent="0.35">
      <c r="A119" s="1"/>
      <c r="B119" s="1"/>
      <c r="C119" s="1"/>
      <c r="D119" s="1"/>
      <c r="E119" s="1"/>
      <c r="F119" s="1"/>
      <c r="G119" s="1"/>
      <c r="H119" s="1"/>
      <c r="I119" s="1"/>
    </row>
    <row r="120" spans="1:9" x14ac:dyDescent="0.35">
      <c r="A120" s="1"/>
      <c r="B120" s="1"/>
      <c r="C120" s="1"/>
      <c r="D120" s="1"/>
      <c r="E120" s="1"/>
      <c r="F120" s="1"/>
      <c r="G120" s="1"/>
      <c r="H120" s="1"/>
      <c r="I120" s="1"/>
    </row>
    <row r="121" spans="1:9" x14ac:dyDescent="0.35">
      <c r="A121" s="1"/>
      <c r="B121" s="1"/>
      <c r="C121" s="1"/>
      <c r="D121" s="1"/>
      <c r="E121" s="1"/>
      <c r="F121" s="1"/>
      <c r="G121" s="1"/>
      <c r="H121" s="1"/>
      <c r="I121" s="1"/>
    </row>
    <row r="122" spans="1:9" x14ac:dyDescent="0.35">
      <c r="A122" s="1"/>
      <c r="B122" s="1"/>
      <c r="C122" s="1"/>
      <c r="D122" s="1"/>
      <c r="E122" s="1"/>
      <c r="F122" s="1"/>
      <c r="G122" s="1"/>
      <c r="H122" s="1"/>
      <c r="I122" s="1"/>
    </row>
    <row r="123" spans="1:9" x14ac:dyDescent="0.35">
      <c r="A123" s="1"/>
      <c r="B123" s="1"/>
      <c r="C123" s="1"/>
      <c r="D123" s="1"/>
      <c r="E123" s="1"/>
      <c r="F123" s="1"/>
      <c r="G123" s="1"/>
      <c r="H123" s="1"/>
      <c r="I123" s="1"/>
    </row>
    <row r="124" spans="1:9" x14ac:dyDescent="0.35">
      <c r="A124" s="1"/>
      <c r="B124" s="1"/>
      <c r="C124" s="1"/>
      <c r="D124" s="1"/>
      <c r="E124" s="1"/>
      <c r="F124" s="1"/>
      <c r="G124" s="1"/>
      <c r="H124" s="1"/>
      <c r="I124" s="1"/>
    </row>
    <row r="125" spans="1:9" x14ac:dyDescent="0.35">
      <c r="A125" s="1"/>
      <c r="B125" s="1"/>
      <c r="C125" s="1"/>
      <c r="D125" s="1"/>
      <c r="E125" s="1"/>
      <c r="F125" s="1"/>
      <c r="G125" s="1"/>
      <c r="H125" s="1"/>
      <c r="I125" s="1"/>
    </row>
    <row r="126" spans="1:9" x14ac:dyDescent="0.35">
      <c r="A126" s="1"/>
      <c r="B126" s="1"/>
      <c r="C126" s="1"/>
      <c r="D126" s="1"/>
      <c r="E126" s="1"/>
      <c r="F126" s="1"/>
      <c r="G126" s="1"/>
      <c r="H126" s="1"/>
      <c r="I126" s="1"/>
    </row>
    <row r="127" spans="1:9" x14ac:dyDescent="0.35">
      <c r="A127" s="1"/>
      <c r="B127" s="1"/>
      <c r="C127" s="1"/>
      <c r="D127" s="1"/>
      <c r="E127" s="1"/>
      <c r="F127" s="1"/>
      <c r="G127" s="1"/>
      <c r="H127" s="1"/>
      <c r="I127" s="1"/>
    </row>
    <row r="128" spans="1:9" x14ac:dyDescent="0.35">
      <c r="A128" s="1"/>
      <c r="B128" s="1"/>
      <c r="C128" s="1"/>
      <c r="D128" s="1"/>
      <c r="E128" s="1"/>
      <c r="F128" s="1"/>
      <c r="G128" s="1"/>
      <c r="H128" s="1"/>
      <c r="I128" s="1"/>
    </row>
    <row r="129" spans="1:9" x14ac:dyDescent="0.35">
      <c r="A129" s="1"/>
      <c r="B129" s="1"/>
      <c r="C129" s="1"/>
      <c r="D129" s="1"/>
      <c r="E129" s="1"/>
      <c r="F129" s="1"/>
      <c r="G129" s="1"/>
      <c r="H129" s="1"/>
      <c r="I129" s="1"/>
    </row>
    <row r="130" spans="1:9" x14ac:dyDescent="0.35">
      <c r="A130" s="1"/>
      <c r="B130" s="1"/>
      <c r="C130" s="1"/>
      <c r="D130" s="1"/>
      <c r="E130" s="1"/>
      <c r="F130" s="1"/>
      <c r="G130" s="1"/>
      <c r="H130" s="1"/>
      <c r="I130" s="1"/>
    </row>
    <row r="131" spans="1:9" x14ac:dyDescent="0.35">
      <c r="A131" s="1"/>
      <c r="B131" s="1"/>
      <c r="C131" s="1"/>
      <c r="D131" s="1"/>
      <c r="E131" s="1"/>
      <c r="F131" s="1"/>
      <c r="G131" s="1"/>
      <c r="H131" s="1"/>
      <c r="I131" s="1"/>
    </row>
    <row r="132" spans="1:9" x14ac:dyDescent="0.35">
      <c r="A132" s="1"/>
      <c r="B132" s="1"/>
      <c r="C132" s="1"/>
      <c r="D132" s="1"/>
      <c r="E132" s="1"/>
      <c r="F132" s="1"/>
      <c r="G132" s="1"/>
      <c r="H132" s="1"/>
      <c r="I132" s="1"/>
    </row>
    <row r="133" spans="1:9" x14ac:dyDescent="0.35">
      <c r="A133" s="1"/>
      <c r="B133" s="1"/>
      <c r="C133" s="1"/>
      <c r="D133" s="1"/>
      <c r="E133" s="1"/>
      <c r="F133" s="1"/>
      <c r="G133" s="1"/>
      <c r="H133" s="1"/>
      <c r="I133" s="1"/>
    </row>
    <row r="134" spans="1:9" x14ac:dyDescent="0.35">
      <c r="A134" s="1"/>
      <c r="B134" s="1"/>
      <c r="C134" s="1"/>
      <c r="D134" s="1"/>
      <c r="E134" s="1"/>
      <c r="F134" s="1"/>
      <c r="G134" s="1"/>
      <c r="H134" s="1"/>
      <c r="I134" s="1"/>
    </row>
    <row r="135" spans="1:9" x14ac:dyDescent="0.35">
      <c r="A135" s="1"/>
      <c r="B135" s="1"/>
      <c r="C135" s="1"/>
      <c r="D135" s="1"/>
      <c r="E135" s="1"/>
      <c r="F135" s="1"/>
      <c r="G135" s="1"/>
      <c r="H135" s="1"/>
      <c r="I135" s="1"/>
    </row>
    <row r="136" spans="1:9" x14ac:dyDescent="0.35">
      <c r="A136" s="1"/>
      <c r="B136" s="1"/>
      <c r="C136" s="1"/>
      <c r="D136" s="1"/>
      <c r="E136" s="1"/>
      <c r="F136" s="1"/>
      <c r="G136" s="1"/>
      <c r="H136" s="1"/>
      <c r="I136" s="1"/>
    </row>
    <row r="137" spans="1:9" x14ac:dyDescent="0.35">
      <c r="A137" s="1"/>
      <c r="B137" s="1"/>
      <c r="C137" s="1"/>
      <c r="D137" s="1"/>
      <c r="E137" s="1"/>
      <c r="F137" s="1"/>
      <c r="G137" s="1"/>
      <c r="H137" s="1"/>
      <c r="I137" s="1"/>
    </row>
    <row r="138" spans="1:9" x14ac:dyDescent="0.35">
      <c r="A138" s="1"/>
      <c r="B138" s="1"/>
      <c r="C138" s="1"/>
      <c r="D138" s="1"/>
      <c r="E138" s="1"/>
      <c r="F138" s="1"/>
      <c r="G138" s="1"/>
      <c r="H138" s="1"/>
      <c r="I138" s="1"/>
    </row>
    <row r="139" spans="1:9" x14ac:dyDescent="0.35">
      <c r="A139" s="1"/>
      <c r="B139" s="1"/>
      <c r="C139" s="1"/>
      <c r="D139" s="1"/>
      <c r="E139" s="1"/>
      <c r="F139" s="1"/>
      <c r="G139" s="1"/>
      <c r="H139" s="1"/>
      <c r="I139" s="1"/>
    </row>
    <row r="140" spans="1:9" x14ac:dyDescent="0.35">
      <c r="A140" s="1"/>
      <c r="B140" s="1"/>
      <c r="C140" s="1"/>
      <c r="D140" s="1"/>
      <c r="E140" s="1"/>
      <c r="F140" s="1"/>
      <c r="G140" s="1"/>
      <c r="H140" s="1"/>
      <c r="I140" s="1"/>
    </row>
    <row r="141" spans="1:9" x14ac:dyDescent="0.35">
      <c r="A141" s="1"/>
      <c r="B141" s="1"/>
      <c r="C141" s="1"/>
      <c r="D141" s="1"/>
      <c r="E141" s="1"/>
      <c r="F141" s="1"/>
      <c r="G141" s="1"/>
      <c r="H141" s="1"/>
      <c r="I141" s="1"/>
    </row>
    <row r="142" spans="1:9" x14ac:dyDescent="0.35">
      <c r="A142" s="1"/>
      <c r="B142" s="1"/>
      <c r="C142" s="1"/>
      <c r="D142" s="1"/>
      <c r="E142" s="1"/>
      <c r="F142" s="1"/>
      <c r="G142" s="1"/>
      <c r="H142" s="1"/>
      <c r="I142" s="1"/>
    </row>
    <row r="143" spans="1:9" x14ac:dyDescent="0.35">
      <c r="A143" s="1"/>
      <c r="B143" s="1"/>
      <c r="C143" s="1"/>
      <c r="D143" s="1"/>
      <c r="E143" s="1"/>
      <c r="F143" s="1"/>
      <c r="G143" s="1"/>
      <c r="H143" s="1"/>
      <c r="I143" s="1"/>
    </row>
    <row r="144" spans="1:9" x14ac:dyDescent="0.35">
      <c r="A144" s="1"/>
      <c r="B144" s="1"/>
      <c r="C144" s="1"/>
      <c r="D144" s="1"/>
      <c r="E144" s="1"/>
      <c r="F144" s="1"/>
      <c r="G144" s="1"/>
      <c r="H144" s="1"/>
      <c r="I144" s="1"/>
    </row>
    <row r="145" spans="1:9" x14ac:dyDescent="0.35">
      <c r="A145" s="1"/>
      <c r="B145" s="1"/>
      <c r="C145" s="1"/>
      <c r="D145" s="1"/>
      <c r="E145" s="1"/>
      <c r="F145" s="1"/>
      <c r="G145" s="1"/>
      <c r="H145" s="1"/>
      <c r="I145" s="1"/>
    </row>
    <row r="146" spans="1:9" x14ac:dyDescent="0.35">
      <c r="A146" s="1"/>
      <c r="B146" s="1"/>
      <c r="C146" s="1"/>
      <c r="D146" s="1"/>
      <c r="E146" s="1"/>
      <c r="F146" s="1"/>
      <c r="G146" s="1"/>
      <c r="H146" s="1"/>
      <c r="I146" s="1"/>
    </row>
    <row r="147" spans="1:9" x14ac:dyDescent="0.35">
      <c r="A147" s="1"/>
      <c r="B147" s="1"/>
      <c r="C147" s="1"/>
      <c r="D147" s="1"/>
      <c r="E147" s="1"/>
      <c r="F147" s="1"/>
      <c r="G147" s="1"/>
      <c r="H147" s="1"/>
      <c r="I147" s="1"/>
    </row>
    <row r="148" spans="1:9" x14ac:dyDescent="0.35">
      <c r="A148" s="1"/>
      <c r="B148" s="1"/>
      <c r="C148" s="1"/>
      <c r="D148" s="1"/>
      <c r="E148" s="1"/>
      <c r="F148" s="1"/>
      <c r="G148" s="1"/>
      <c r="H148" s="1"/>
      <c r="I148" s="1"/>
    </row>
    <row r="149" spans="1:9" x14ac:dyDescent="0.35">
      <c r="A149" s="1"/>
      <c r="B149" s="1"/>
      <c r="C149" s="1"/>
      <c r="D149" s="1"/>
      <c r="E149" s="1"/>
      <c r="F149" s="1"/>
      <c r="G149" s="1"/>
      <c r="H149" s="1"/>
      <c r="I149" s="1"/>
    </row>
    <row r="150" spans="1:9" x14ac:dyDescent="0.35">
      <c r="A150" s="1"/>
      <c r="B150" s="1"/>
      <c r="C150" s="1"/>
      <c r="D150" s="1"/>
      <c r="E150" s="1"/>
      <c r="F150" s="1"/>
      <c r="G150" s="1"/>
      <c r="H150" s="1"/>
      <c r="I150" s="1"/>
    </row>
    <row r="151" spans="1:9" x14ac:dyDescent="0.35">
      <c r="A151" s="1"/>
      <c r="B151" s="1"/>
      <c r="C151" s="1"/>
      <c r="D151" s="1"/>
      <c r="E151" s="1"/>
      <c r="F151" s="1"/>
      <c r="G151" s="1"/>
      <c r="H151" s="1"/>
      <c r="I151" s="1"/>
    </row>
    <row r="152" spans="1:9" x14ac:dyDescent="0.35">
      <c r="A152" s="1"/>
      <c r="B152" s="1"/>
      <c r="C152" s="1"/>
      <c r="D152" s="1"/>
      <c r="E152" s="1"/>
      <c r="F152" s="1"/>
      <c r="G152" s="1"/>
      <c r="H152" s="1"/>
      <c r="I152" s="1"/>
    </row>
    <row r="153" spans="1:9" x14ac:dyDescent="0.35">
      <c r="A153" s="1"/>
      <c r="B153" s="1"/>
      <c r="C153" s="1"/>
      <c r="D153" s="1"/>
      <c r="E153" s="1"/>
      <c r="F153" s="1"/>
      <c r="G153" s="1"/>
      <c r="H153" s="1"/>
      <c r="I153" s="1"/>
    </row>
    <row r="154" spans="1:9" x14ac:dyDescent="0.35">
      <c r="A154" s="1"/>
      <c r="B154" s="1"/>
      <c r="C154" s="1"/>
      <c r="D154" s="1"/>
      <c r="E154" s="1"/>
      <c r="F154" s="1"/>
      <c r="G154" s="1"/>
      <c r="H154" s="1"/>
      <c r="I154" s="1"/>
    </row>
    <row r="155" spans="1:9" x14ac:dyDescent="0.35">
      <c r="A155" s="1"/>
      <c r="B155" s="1"/>
      <c r="C155" s="1"/>
      <c r="D155" s="1"/>
      <c r="E155" s="1"/>
      <c r="F155" s="1"/>
      <c r="G155" s="1"/>
      <c r="H155" s="1"/>
      <c r="I155" s="1"/>
    </row>
    <row r="156" spans="1:9" x14ac:dyDescent="0.35">
      <c r="A156" s="1"/>
      <c r="B156" s="1"/>
      <c r="C156" s="1"/>
      <c r="D156" s="1"/>
      <c r="E156" s="1"/>
      <c r="F156" s="1"/>
      <c r="G156" s="1"/>
      <c r="H156" s="1"/>
      <c r="I156" s="1"/>
    </row>
    <row r="157" spans="1:9" x14ac:dyDescent="0.35">
      <c r="A157" s="1"/>
      <c r="B157" s="1"/>
      <c r="C157" s="1"/>
      <c r="D157" s="1"/>
      <c r="E157" s="1"/>
      <c r="F157" s="1"/>
      <c r="G157" s="1"/>
      <c r="H157" s="1"/>
      <c r="I157" s="1"/>
    </row>
    <row r="158" spans="1:9" x14ac:dyDescent="0.35">
      <c r="A158" s="1"/>
      <c r="B158" s="1"/>
      <c r="C158" s="1"/>
      <c r="D158" s="1"/>
      <c r="E158" s="1"/>
      <c r="F158" s="1"/>
      <c r="G158" s="1"/>
      <c r="H158" s="1"/>
      <c r="I158" s="1"/>
    </row>
    <row r="159" spans="1:9" x14ac:dyDescent="0.35">
      <c r="A159" s="1"/>
      <c r="B159" s="1"/>
      <c r="C159" s="1"/>
      <c r="D159" s="1"/>
      <c r="E159" s="1"/>
      <c r="F159" s="1"/>
      <c r="G159" s="1"/>
      <c r="H159" s="1"/>
      <c r="I159" s="1"/>
    </row>
    <row r="160" spans="1:9" x14ac:dyDescent="0.35">
      <c r="A160" s="1"/>
      <c r="B160" s="1"/>
      <c r="C160" s="1"/>
      <c r="D160" s="1"/>
      <c r="E160" s="1"/>
      <c r="F160" s="1"/>
      <c r="G160" s="1"/>
      <c r="H160" s="1"/>
      <c r="I160" s="1"/>
    </row>
    <row r="161" spans="1:9" x14ac:dyDescent="0.35">
      <c r="A161" s="1"/>
      <c r="B161" s="1"/>
      <c r="C161" s="1"/>
      <c r="D161" s="1"/>
      <c r="E161" s="1"/>
      <c r="F161" s="1"/>
      <c r="G161" s="1"/>
      <c r="H161" s="1"/>
      <c r="I161" s="1"/>
    </row>
  </sheetData>
  <mergeCells count="7">
    <mergeCell ref="A40:J40"/>
    <mergeCell ref="A2:J2"/>
    <mergeCell ref="A3:J3"/>
    <mergeCell ref="A8:J8"/>
    <mergeCell ref="I10:J10"/>
    <mergeCell ref="A11:H11"/>
    <mergeCell ref="A39:J39"/>
  </mergeCells>
  <pageMargins left="0.59055118110236227" right="0.19685039370078741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2"/>
  <sheetViews>
    <sheetView workbookViewId="0">
      <selection activeCell="A40" sqref="A40"/>
    </sheetView>
  </sheetViews>
  <sheetFormatPr defaultRowHeight="21" x14ac:dyDescent="0.35"/>
  <cols>
    <col min="3" max="3" width="9.5" customWidth="1"/>
    <col min="4" max="9" width="8.625" customWidth="1"/>
    <col min="10" max="10" width="9.375" customWidth="1"/>
  </cols>
  <sheetData>
    <row r="1" spans="1:11" x14ac:dyDescent="0.35">
      <c r="J1" s="1">
        <v>101</v>
      </c>
    </row>
    <row r="3" spans="1:11" x14ac:dyDescent="0.35">
      <c r="A3" s="3" t="s">
        <v>23</v>
      </c>
      <c r="B3" s="3" t="s">
        <v>24</v>
      </c>
    </row>
    <row r="4" spans="1:11" x14ac:dyDescent="0.35">
      <c r="A4" s="1" t="s">
        <v>90</v>
      </c>
    </row>
    <row r="5" spans="1:11" x14ac:dyDescent="0.35">
      <c r="A5" s="1" t="s">
        <v>54</v>
      </c>
      <c r="D5" s="2"/>
      <c r="E5" s="2"/>
      <c r="F5" s="2"/>
      <c r="G5" s="2"/>
      <c r="H5" s="2"/>
      <c r="I5" s="23"/>
      <c r="J5" s="2"/>
    </row>
    <row r="6" spans="1:11" ht="18.95" customHeight="1" x14ac:dyDescent="0.35">
      <c r="A6" s="1"/>
      <c r="D6" s="2"/>
      <c r="E6" s="2"/>
      <c r="F6" s="2"/>
      <c r="G6" s="2"/>
      <c r="H6" s="2"/>
      <c r="I6" s="23"/>
      <c r="J6" s="2"/>
    </row>
    <row r="7" spans="1:11" ht="18.95" customHeight="1" x14ac:dyDescent="0.35">
      <c r="A7" s="95" t="s">
        <v>25</v>
      </c>
      <c r="B7" s="96"/>
      <c r="C7" s="97"/>
      <c r="D7" s="26" t="s">
        <v>4</v>
      </c>
      <c r="E7" s="26" t="s">
        <v>4</v>
      </c>
      <c r="F7" s="26" t="s">
        <v>4</v>
      </c>
      <c r="G7" s="26" t="s">
        <v>4</v>
      </c>
      <c r="H7" s="26" t="s">
        <v>4</v>
      </c>
      <c r="I7" s="101" t="s">
        <v>28</v>
      </c>
      <c r="J7" s="26" t="s">
        <v>26</v>
      </c>
    </row>
    <row r="8" spans="1:11" ht="18.95" customHeight="1" x14ac:dyDescent="0.35">
      <c r="A8" s="98"/>
      <c r="B8" s="99"/>
      <c r="C8" s="100"/>
      <c r="D8" s="27" t="s">
        <v>29</v>
      </c>
      <c r="E8" s="27" t="s">
        <v>30</v>
      </c>
      <c r="F8" s="27" t="s">
        <v>31</v>
      </c>
      <c r="G8" s="27" t="s">
        <v>32</v>
      </c>
      <c r="H8" s="27" t="s">
        <v>33</v>
      </c>
      <c r="I8" s="102"/>
      <c r="J8" s="28" t="s">
        <v>27</v>
      </c>
    </row>
    <row r="9" spans="1:11" ht="18.95" customHeight="1" x14ac:dyDescent="0.35">
      <c r="A9" s="35" t="s">
        <v>34</v>
      </c>
      <c r="B9" s="36"/>
      <c r="C9" s="37"/>
      <c r="D9" s="29">
        <f>47*100/360</f>
        <v>13.055555555555555</v>
      </c>
      <c r="E9" s="29">
        <f>131*100/360</f>
        <v>36.388888888888886</v>
      </c>
      <c r="F9" s="29">
        <f>166*100/360</f>
        <v>46.111111111111114</v>
      </c>
      <c r="G9" s="29">
        <f>16*100/360</f>
        <v>4.4444444444444446</v>
      </c>
      <c r="H9" s="29">
        <f>0*100/360</f>
        <v>0</v>
      </c>
      <c r="I9" s="30">
        <f t="shared" ref="I9:I27" si="0">H9+G9+F9+E9+D9</f>
        <v>100</v>
      </c>
      <c r="J9" s="109" t="s">
        <v>30</v>
      </c>
    </row>
    <row r="10" spans="1:11" ht="18.95" customHeight="1" x14ac:dyDescent="0.35">
      <c r="A10" s="38" t="s">
        <v>35</v>
      </c>
      <c r="B10" s="39"/>
      <c r="C10" s="40"/>
      <c r="D10" s="31">
        <f>5*47/360</f>
        <v>0.65277777777777779</v>
      </c>
      <c r="E10" s="31">
        <f>131*4/360</f>
        <v>1.4555555555555555</v>
      </c>
      <c r="F10" s="31">
        <f>166*3/360</f>
        <v>1.3833333333333333</v>
      </c>
      <c r="G10" s="31">
        <f>16*2/360</f>
        <v>8.8888888888888892E-2</v>
      </c>
      <c r="H10" s="31">
        <f>0*1/360</f>
        <v>0</v>
      </c>
      <c r="I10" s="77">
        <f t="shared" si="0"/>
        <v>3.5805555555555553</v>
      </c>
      <c r="J10" s="110"/>
      <c r="K10" s="58"/>
    </row>
    <row r="11" spans="1:11" ht="18.95" customHeight="1" x14ac:dyDescent="0.35">
      <c r="A11" s="41" t="s">
        <v>36</v>
      </c>
      <c r="B11" s="42"/>
      <c r="C11" s="43"/>
      <c r="D11" s="32">
        <f>42*100/360</f>
        <v>11.666666666666666</v>
      </c>
      <c r="E11" s="32">
        <f>137*100/360</f>
        <v>38.055555555555557</v>
      </c>
      <c r="F11" s="32">
        <f>160*100/360</f>
        <v>44.444444444444443</v>
      </c>
      <c r="G11" s="32">
        <f>21*100/360</f>
        <v>5.833333333333333</v>
      </c>
      <c r="H11" s="32">
        <v>0</v>
      </c>
      <c r="I11" s="33">
        <f t="shared" si="0"/>
        <v>100.00000000000001</v>
      </c>
      <c r="J11" s="109" t="s">
        <v>30</v>
      </c>
    </row>
    <row r="12" spans="1:11" ht="18.95" customHeight="1" x14ac:dyDescent="0.35">
      <c r="A12" s="38" t="s">
        <v>37</v>
      </c>
      <c r="B12" s="39"/>
      <c r="C12" s="40"/>
      <c r="D12" s="31">
        <f>42*5/360</f>
        <v>0.58333333333333337</v>
      </c>
      <c r="E12" s="31">
        <f>137*4/360</f>
        <v>1.5222222222222221</v>
      </c>
      <c r="F12" s="31">
        <f>160*3/360</f>
        <v>1.3333333333333333</v>
      </c>
      <c r="G12" s="31">
        <f>2*21/360</f>
        <v>0.11666666666666667</v>
      </c>
      <c r="H12" s="31">
        <v>0</v>
      </c>
      <c r="I12" s="31">
        <f t="shared" si="0"/>
        <v>3.5555555555555558</v>
      </c>
      <c r="J12" s="110"/>
      <c r="K12" s="58"/>
    </row>
    <row r="13" spans="1:11" ht="18.95" customHeight="1" x14ac:dyDescent="0.35">
      <c r="A13" s="41" t="s">
        <v>38</v>
      </c>
      <c r="B13" s="42"/>
      <c r="C13" s="43"/>
      <c r="D13" s="32">
        <f>43*100/360</f>
        <v>11.944444444444445</v>
      </c>
      <c r="E13" s="32">
        <f>129*100/360</f>
        <v>35.833333333333336</v>
      </c>
      <c r="F13" s="32">
        <f>162*100/360</f>
        <v>45</v>
      </c>
      <c r="G13" s="32">
        <f>26*100/360</f>
        <v>7.2222222222222223</v>
      </c>
      <c r="H13" s="32">
        <v>0</v>
      </c>
      <c r="I13" s="33">
        <f t="shared" si="0"/>
        <v>100</v>
      </c>
      <c r="J13" s="109" t="s">
        <v>30</v>
      </c>
      <c r="K13" s="58"/>
    </row>
    <row r="14" spans="1:11" ht="18.95" customHeight="1" x14ac:dyDescent="0.35">
      <c r="A14" s="38" t="s">
        <v>39</v>
      </c>
      <c r="B14" s="39"/>
      <c r="C14" s="40"/>
      <c r="D14" s="31">
        <f>5*43/360</f>
        <v>0.59722222222222221</v>
      </c>
      <c r="E14" s="31">
        <f>129*4/360</f>
        <v>1.4333333333333333</v>
      </c>
      <c r="F14" s="31">
        <f>162*3/360</f>
        <v>1.35</v>
      </c>
      <c r="G14" s="31">
        <f>26*2/360</f>
        <v>0.14444444444444443</v>
      </c>
      <c r="H14" s="31">
        <v>0</v>
      </c>
      <c r="I14" s="31">
        <f t="shared" si="0"/>
        <v>3.5250000000000004</v>
      </c>
      <c r="J14" s="110"/>
      <c r="K14" s="58">
        <f>SUM(D14:H14)</f>
        <v>3.5249999999999999</v>
      </c>
    </row>
    <row r="15" spans="1:11" ht="18.95" customHeight="1" x14ac:dyDescent="0.35">
      <c r="A15" s="41" t="s">
        <v>40</v>
      </c>
      <c r="B15" s="42"/>
      <c r="C15" s="43"/>
      <c r="D15" s="32">
        <f>45*100/360</f>
        <v>12.5</v>
      </c>
      <c r="E15" s="32">
        <f>127*100/360</f>
        <v>35.277777777777779</v>
      </c>
      <c r="F15" s="32">
        <f>168*100/360</f>
        <v>46.666666666666664</v>
      </c>
      <c r="G15" s="32">
        <f>20*100/360</f>
        <v>5.5555555555555554</v>
      </c>
      <c r="H15" s="32">
        <v>0</v>
      </c>
      <c r="I15" s="33">
        <f t="shared" si="0"/>
        <v>100</v>
      </c>
      <c r="J15" s="109" t="s">
        <v>30</v>
      </c>
    </row>
    <row r="16" spans="1:11" ht="18.95" customHeight="1" x14ac:dyDescent="0.35">
      <c r="A16" s="38" t="s">
        <v>41</v>
      </c>
      <c r="B16" s="39"/>
      <c r="C16" s="40"/>
      <c r="D16" s="31">
        <f>45*5/360</f>
        <v>0.625</v>
      </c>
      <c r="E16" s="31">
        <f>4*127/360</f>
        <v>1.4111111111111112</v>
      </c>
      <c r="F16" s="31">
        <f>3*168/360</f>
        <v>1.4</v>
      </c>
      <c r="G16" s="31">
        <f>2*20/360</f>
        <v>0.1111111111111111</v>
      </c>
      <c r="H16" s="31">
        <v>0</v>
      </c>
      <c r="I16" s="31">
        <f t="shared" si="0"/>
        <v>3.5472222222222225</v>
      </c>
      <c r="J16" s="110"/>
    </row>
    <row r="17" spans="1:17" ht="18.95" customHeight="1" x14ac:dyDescent="0.35">
      <c r="A17" s="41" t="s">
        <v>42</v>
      </c>
      <c r="B17" s="42"/>
      <c r="C17" s="43"/>
      <c r="D17" s="32">
        <f>50*100/360</f>
        <v>13.888888888888889</v>
      </c>
      <c r="E17" s="32">
        <f>131*100/360</f>
        <v>36.388888888888886</v>
      </c>
      <c r="F17" s="32">
        <f>158*100/360</f>
        <v>43.888888888888886</v>
      </c>
      <c r="G17" s="32">
        <f>21*100/360</f>
        <v>5.833333333333333</v>
      </c>
      <c r="H17" s="32">
        <v>0</v>
      </c>
      <c r="I17" s="33">
        <f t="shared" si="0"/>
        <v>100</v>
      </c>
      <c r="J17" s="109" t="s">
        <v>30</v>
      </c>
      <c r="L17" s="44"/>
    </row>
    <row r="18" spans="1:17" ht="18.95" customHeight="1" x14ac:dyDescent="0.35">
      <c r="A18" s="38" t="s">
        <v>43</v>
      </c>
      <c r="B18" s="39"/>
      <c r="C18" s="40"/>
      <c r="D18" s="31">
        <f>5*50/360</f>
        <v>0.69444444444444442</v>
      </c>
      <c r="E18" s="31">
        <f>4*131/360</f>
        <v>1.4555555555555555</v>
      </c>
      <c r="F18" s="31">
        <f>3*158/360</f>
        <v>1.3166666666666667</v>
      </c>
      <c r="G18" s="31">
        <f>21*2/360</f>
        <v>0.11666666666666667</v>
      </c>
      <c r="H18" s="31">
        <v>0</v>
      </c>
      <c r="I18" s="45">
        <f t="shared" si="0"/>
        <v>3.583333333333333</v>
      </c>
      <c r="J18" s="110"/>
      <c r="K18" s="58"/>
      <c r="L18" t="s">
        <v>53</v>
      </c>
    </row>
    <row r="19" spans="1:17" ht="18.95" customHeight="1" x14ac:dyDescent="0.35">
      <c r="A19" s="41" t="s">
        <v>44</v>
      </c>
      <c r="B19" s="42"/>
      <c r="C19" s="43"/>
      <c r="D19" s="32">
        <f>47*100/360</f>
        <v>13.055555555555555</v>
      </c>
      <c r="E19" s="32">
        <f>131*100/360</f>
        <v>36.388888888888886</v>
      </c>
      <c r="F19" s="32">
        <f>168*100/360</f>
        <v>46.666666666666664</v>
      </c>
      <c r="G19" s="32">
        <f>13*100/360</f>
        <v>3.6111111111111112</v>
      </c>
      <c r="H19" s="32">
        <f>1*100/360</f>
        <v>0.27777777777777779</v>
      </c>
      <c r="I19" s="33">
        <f t="shared" si="0"/>
        <v>99.999999999999986</v>
      </c>
      <c r="J19" s="109" t="s">
        <v>30</v>
      </c>
    </row>
    <row r="20" spans="1:17" ht="18.95" customHeight="1" x14ac:dyDescent="0.35">
      <c r="A20" s="38" t="s">
        <v>45</v>
      </c>
      <c r="B20" s="39"/>
      <c r="C20" s="40"/>
      <c r="D20" s="31">
        <f>47*5/360</f>
        <v>0.65277777777777779</v>
      </c>
      <c r="E20" s="31">
        <f>4*131/360</f>
        <v>1.4555555555555555</v>
      </c>
      <c r="F20" s="31">
        <f>3*168/360</f>
        <v>1.4</v>
      </c>
      <c r="G20" s="31">
        <f>2*13/360</f>
        <v>7.2222222222222215E-2</v>
      </c>
      <c r="H20" s="31">
        <f>1*1/360</f>
        <v>2.7777777777777779E-3</v>
      </c>
      <c r="I20" s="72">
        <f t="shared" si="0"/>
        <v>3.583333333333333</v>
      </c>
      <c r="J20" s="110"/>
    </row>
    <row r="21" spans="1:17" ht="18.95" customHeight="1" x14ac:dyDescent="0.35">
      <c r="A21" s="41" t="s">
        <v>46</v>
      </c>
      <c r="B21" s="42"/>
      <c r="C21" s="43"/>
      <c r="D21" s="32">
        <f>61*100/360</f>
        <v>16.944444444444443</v>
      </c>
      <c r="E21" s="32">
        <f>135*100/360</f>
        <v>37.5</v>
      </c>
      <c r="F21" s="32">
        <f>112*100/360</f>
        <v>31.111111111111111</v>
      </c>
      <c r="G21" s="32">
        <f>52*100/360</f>
        <v>14.444444444444445</v>
      </c>
      <c r="H21" s="32">
        <v>0</v>
      </c>
      <c r="I21" s="33">
        <f t="shared" si="0"/>
        <v>100</v>
      </c>
      <c r="J21" s="109" t="s">
        <v>30</v>
      </c>
    </row>
    <row r="22" spans="1:17" ht="18.95" customHeight="1" x14ac:dyDescent="0.35">
      <c r="A22" s="38" t="s">
        <v>47</v>
      </c>
      <c r="B22" s="39"/>
      <c r="C22" s="40"/>
      <c r="D22" s="31">
        <f>5*61/360</f>
        <v>0.84722222222222221</v>
      </c>
      <c r="E22" s="31">
        <f>4*135/360</f>
        <v>1.5</v>
      </c>
      <c r="F22" s="31">
        <f>3*112/360</f>
        <v>0.93333333333333335</v>
      </c>
      <c r="G22" s="31">
        <f>2*52/360</f>
        <v>0.28888888888888886</v>
      </c>
      <c r="H22" s="31">
        <v>0</v>
      </c>
      <c r="I22" s="75">
        <f t="shared" si="0"/>
        <v>3.5694444444444446</v>
      </c>
      <c r="J22" s="110"/>
    </row>
    <row r="23" spans="1:17" ht="18.95" customHeight="1" x14ac:dyDescent="0.35">
      <c r="A23" s="41" t="s">
        <v>48</v>
      </c>
      <c r="B23" s="42"/>
      <c r="C23" s="43"/>
      <c r="D23" s="32">
        <f>61*100/360</f>
        <v>16.944444444444443</v>
      </c>
      <c r="E23" s="32">
        <f>117*100/360</f>
        <v>32.5</v>
      </c>
      <c r="F23" s="32">
        <f>131*100/360</f>
        <v>36.388888888888886</v>
      </c>
      <c r="G23" s="32">
        <f>51*100/360</f>
        <v>14.166666666666666</v>
      </c>
      <c r="H23" s="32">
        <v>0</v>
      </c>
      <c r="I23" s="33">
        <f t="shared" si="0"/>
        <v>99.999999999999986</v>
      </c>
      <c r="J23" s="109" t="s">
        <v>30</v>
      </c>
      <c r="K23" s="58"/>
    </row>
    <row r="24" spans="1:17" ht="18.95" customHeight="1" x14ac:dyDescent="0.35">
      <c r="A24" s="38" t="s">
        <v>49</v>
      </c>
      <c r="B24" s="39"/>
      <c r="C24" s="40"/>
      <c r="D24" s="31">
        <f>61*5/360</f>
        <v>0.84722222222222221</v>
      </c>
      <c r="E24" s="31">
        <f>117*4/360</f>
        <v>1.3</v>
      </c>
      <c r="F24" s="31">
        <f>131*3/360</f>
        <v>1.0916666666666666</v>
      </c>
      <c r="G24" s="31">
        <f>2*51/360</f>
        <v>0.28333333333333333</v>
      </c>
      <c r="H24" s="31">
        <v>0</v>
      </c>
      <c r="I24" s="71">
        <f t="shared" si="0"/>
        <v>3.5222222222222221</v>
      </c>
      <c r="J24" s="110"/>
    </row>
    <row r="25" spans="1:17" ht="18.95" customHeight="1" x14ac:dyDescent="0.35">
      <c r="A25" s="41" t="s">
        <v>50</v>
      </c>
      <c r="B25" s="42"/>
      <c r="C25" s="43"/>
      <c r="D25" s="32">
        <f>62*100/360</f>
        <v>17.222222222222221</v>
      </c>
      <c r="E25" s="32">
        <f>123*100/360</f>
        <v>34.166666666666664</v>
      </c>
      <c r="F25" s="32">
        <f>125*100/360</f>
        <v>34.722222222222221</v>
      </c>
      <c r="G25" s="32">
        <f>50*100/360</f>
        <v>13.888888888888889</v>
      </c>
      <c r="H25" s="32">
        <v>0</v>
      </c>
      <c r="I25" s="33">
        <f t="shared" si="0"/>
        <v>100</v>
      </c>
      <c r="J25" s="109" t="s">
        <v>30</v>
      </c>
      <c r="K25" s="57">
        <f>D25+D23+D21+D19+D17+D15+D13+D11+D9</f>
        <v>127.22222222222221</v>
      </c>
      <c r="L25" s="57">
        <f>E25+E23+E21+E19+E17+E15+E13+E11+E9</f>
        <v>322.5</v>
      </c>
      <c r="M25" s="57">
        <f>F25+F23+F21+F19+F17+F15+F13+F11+F9</f>
        <v>375</v>
      </c>
      <c r="N25" s="57">
        <f>G25+G23+G21+G19+G17+G15+G13+G11+G9</f>
        <v>75</v>
      </c>
      <c r="O25" s="57">
        <f>H25+H23+H21+H19+H17+H15+H13+H11+H9</f>
        <v>0.27777777777777779</v>
      </c>
      <c r="P25" s="58">
        <f>SUM(K25:O25)</f>
        <v>900</v>
      </c>
    </row>
    <row r="26" spans="1:17" ht="18.95" customHeight="1" x14ac:dyDescent="0.35">
      <c r="A26" s="38" t="s">
        <v>51</v>
      </c>
      <c r="B26" s="39"/>
      <c r="C26" s="40"/>
      <c r="D26" s="31">
        <f>62*5/360</f>
        <v>0.86111111111111116</v>
      </c>
      <c r="E26" s="31">
        <f>4*123/360</f>
        <v>1.3666666666666667</v>
      </c>
      <c r="F26" s="31">
        <f>3*125/360</f>
        <v>1.0416666666666667</v>
      </c>
      <c r="G26" s="31">
        <f>50*2/360</f>
        <v>0.27777777777777779</v>
      </c>
      <c r="H26" s="31">
        <v>0</v>
      </c>
      <c r="I26" s="76">
        <f t="shared" si="0"/>
        <v>3.5472222222222225</v>
      </c>
      <c r="J26" s="110"/>
      <c r="K26" s="59">
        <f t="shared" ref="K26:P26" si="1">K25/9</f>
        <v>14.135802469135802</v>
      </c>
      <c r="L26" s="59">
        <f t="shared" si="1"/>
        <v>35.833333333333336</v>
      </c>
      <c r="M26" s="59">
        <f t="shared" si="1"/>
        <v>41.666666666666664</v>
      </c>
      <c r="N26" s="59">
        <f t="shared" si="1"/>
        <v>8.3333333333333339</v>
      </c>
      <c r="O26" s="59">
        <f t="shared" si="1"/>
        <v>3.0864197530864199E-2</v>
      </c>
      <c r="P26" s="58">
        <f t="shared" si="1"/>
        <v>100</v>
      </c>
      <c r="Q26" s="58"/>
    </row>
    <row r="27" spans="1:17" ht="18.95" customHeight="1" x14ac:dyDescent="0.35">
      <c r="A27" s="103" t="s">
        <v>52</v>
      </c>
      <c r="B27" s="104"/>
      <c r="C27" s="105"/>
      <c r="D27" s="34">
        <f>K26</f>
        <v>14.135802469135802</v>
      </c>
      <c r="E27" s="34">
        <f>L26</f>
        <v>35.833333333333336</v>
      </c>
      <c r="F27" s="34">
        <f>M26</f>
        <v>41.666666666666664</v>
      </c>
      <c r="G27" s="34">
        <f>N26</f>
        <v>8.3333333333333339</v>
      </c>
      <c r="H27" s="34">
        <f>O26</f>
        <v>3.0864197530864199E-2</v>
      </c>
      <c r="I27" s="34">
        <f t="shared" si="0"/>
        <v>100</v>
      </c>
      <c r="J27" s="111" t="s">
        <v>30</v>
      </c>
      <c r="K27" s="60">
        <f>D26+D24+D22+D20+D18+D16+D14+D12+D10</f>
        <v>6.3611111111111107</v>
      </c>
      <c r="L27" s="60">
        <f>E26+E24+E22+E20+E18+E16+E14+E12+E10</f>
        <v>12.9</v>
      </c>
      <c r="M27" s="60">
        <f>F26+F24+F22+F20+F18+F16+F14+F12+F10</f>
        <v>11.25</v>
      </c>
      <c r="N27" s="60">
        <f>G26+G24+G22+G20+G18+G16+G14+G12+G10</f>
        <v>1.4999999999999998</v>
      </c>
      <c r="O27" s="60">
        <f>H26+H24+H22+H20+H18+H16+H14+H12+H10</f>
        <v>2.7777777777777779E-3</v>
      </c>
      <c r="P27" s="58">
        <f>SUM(K27:O27)</f>
        <v>32.013888888888893</v>
      </c>
    </row>
    <row r="28" spans="1:17" ht="18.95" customHeight="1" x14ac:dyDescent="0.35">
      <c r="A28" s="106"/>
      <c r="B28" s="107"/>
      <c r="C28" s="108"/>
      <c r="D28" s="70">
        <f>SUM(K28)</f>
        <v>0.70679012345679004</v>
      </c>
      <c r="E28" s="70">
        <f>L28</f>
        <v>1.4333333333333333</v>
      </c>
      <c r="F28" s="70">
        <f>M28</f>
        <v>1.25</v>
      </c>
      <c r="G28" s="70">
        <f>N28</f>
        <v>0.16666666666666663</v>
      </c>
      <c r="H28" s="70">
        <f>O28</f>
        <v>3.0864197530864197E-4</v>
      </c>
      <c r="I28" s="78">
        <f t="shared" ref="I28" si="2">SUM(D28:H28)</f>
        <v>3.5570987654320985</v>
      </c>
      <c r="J28" s="112"/>
      <c r="K28" s="61">
        <f t="shared" ref="K28:P28" si="3">K27/9</f>
        <v>0.70679012345679004</v>
      </c>
      <c r="L28" s="61">
        <f t="shared" si="3"/>
        <v>1.4333333333333333</v>
      </c>
      <c r="M28" s="61">
        <f t="shared" si="3"/>
        <v>1.25</v>
      </c>
      <c r="N28" s="61">
        <f t="shared" si="3"/>
        <v>0.16666666666666663</v>
      </c>
      <c r="O28" s="61">
        <f t="shared" si="3"/>
        <v>3.0864197530864197E-4</v>
      </c>
      <c r="P28" s="58">
        <f t="shared" si="3"/>
        <v>3.5570987654320994</v>
      </c>
      <c r="Q28" s="58"/>
    </row>
    <row r="29" spans="1:17" ht="18.95" customHeight="1" x14ac:dyDescent="0.35">
      <c r="A29" s="24"/>
      <c r="B29" s="24"/>
      <c r="C29" s="24"/>
      <c r="D29" s="25"/>
      <c r="E29" s="24"/>
      <c r="F29" s="24"/>
      <c r="G29" s="24"/>
      <c r="H29" s="24"/>
      <c r="I29" s="24"/>
      <c r="J29" s="24"/>
    </row>
    <row r="30" spans="1:17" x14ac:dyDescent="0.35">
      <c r="A30" s="4"/>
      <c r="B30" s="1" t="s">
        <v>108</v>
      </c>
      <c r="C30" s="4"/>
      <c r="D30" s="4"/>
      <c r="E30" s="4"/>
      <c r="F30" s="4"/>
      <c r="G30" s="4"/>
      <c r="H30" s="4"/>
      <c r="I30" s="4"/>
      <c r="J30" s="4"/>
      <c r="K30" s="1"/>
      <c r="L30" s="1"/>
    </row>
    <row r="31" spans="1:17" x14ac:dyDescent="0.35">
      <c r="A31" s="4" t="s">
        <v>109</v>
      </c>
      <c r="B31" s="4"/>
      <c r="C31" s="4"/>
      <c r="D31" s="4"/>
      <c r="E31" s="4"/>
      <c r="F31" s="4"/>
      <c r="G31" s="4"/>
      <c r="H31" s="4"/>
      <c r="I31" s="4"/>
      <c r="J31" s="4"/>
      <c r="K31" s="1"/>
      <c r="L31" s="1"/>
      <c r="Q31" t="s">
        <v>53</v>
      </c>
    </row>
    <row r="32" spans="1:17" x14ac:dyDescent="0.35">
      <c r="A32" s="4"/>
      <c r="B32" s="1" t="s">
        <v>113</v>
      </c>
      <c r="C32" s="4"/>
      <c r="D32" s="4"/>
      <c r="E32" s="4"/>
      <c r="F32" s="4"/>
      <c r="G32" s="4"/>
      <c r="H32" s="4"/>
      <c r="I32" s="4"/>
      <c r="J32" s="4"/>
      <c r="K32" s="1"/>
      <c r="L32" s="1"/>
    </row>
    <row r="33" spans="1:14" x14ac:dyDescent="0.35">
      <c r="A33" s="4" t="s">
        <v>114</v>
      </c>
      <c r="B33" s="4"/>
      <c r="C33" s="4"/>
      <c r="D33" s="4"/>
      <c r="E33" s="4"/>
      <c r="F33" s="4"/>
      <c r="G33" s="4"/>
      <c r="H33" s="4"/>
      <c r="I33" s="4"/>
      <c r="J33" s="4"/>
      <c r="K33" s="1"/>
      <c r="L33" s="1"/>
    </row>
    <row r="34" spans="1:14" x14ac:dyDescent="0.35">
      <c r="A34" s="4" t="s">
        <v>132</v>
      </c>
      <c r="B34" s="4"/>
      <c r="C34" s="4"/>
      <c r="D34" s="4"/>
      <c r="E34" s="4"/>
      <c r="F34" s="4"/>
      <c r="G34" s="4"/>
      <c r="H34" s="4"/>
      <c r="I34" s="4"/>
      <c r="J34" s="4"/>
      <c r="K34" s="1"/>
      <c r="L34" s="1"/>
    </row>
    <row r="35" spans="1:14" x14ac:dyDescent="0.35">
      <c r="A35" s="4" t="s">
        <v>133</v>
      </c>
      <c r="B35" s="4"/>
      <c r="C35" s="4"/>
      <c r="D35" s="4"/>
      <c r="E35" s="4"/>
      <c r="F35" s="4"/>
      <c r="G35" s="4"/>
      <c r="H35" s="4"/>
      <c r="I35" s="4"/>
      <c r="J35" s="4"/>
      <c r="K35" s="1"/>
      <c r="L35" s="1"/>
    </row>
    <row r="36" spans="1:14" x14ac:dyDescent="0.35">
      <c r="A36" s="4" t="s">
        <v>134</v>
      </c>
      <c r="B36" s="4"/>
      <c r="C36" s="4"/>
      <c r="D36" s="4"/>
      <c r="E36" s="4"/>
      <c r="F36" s="4"/>
      <c r="G36" s="4"/>
      <c r="H36" s="4"/>
      <c r="I36" s="4"/>
      <c r="J36" s="4"/>
      <c r="K36" s="1"/>
      <c r="L36" s="1"/>
    </row>
    <row r="37" spans="1:14" x14ac:dyDescent="0.35">
      <c r="A37" s="4" t="s">
        <v>135</v>
      </c>
      <c r="B37" s="4"/>
      <c r="C37" s="4"/>
      <c r="D37" s="4"/>
      <c r="E37" s="4"/>
      <c r="F37" s="4"/>
      <c r="G37" s="4"/>
      <c r="H37" s="4"/>
      <c r="I37" s="4"/>
      <c r="J37" s="4"/>
    </row>
    <row r="38" spans="1:14" x14ac:dyDescent="0.35">
      <c r="A38" s="4" t="s">
        <v>136</v>
      </c>
      <c r="B38" s="4"/>
      <c r="C38" s="4"/>
      <c r="D38" s="4"/>
      <c r="E38" s="4"/>
      <c r="F38" s="4"/>
      <c r="G38" s="4"/>
      <c r="H38" s="4"/>
      <c r="I38" s="4"/>
      <c r="J38" s="4"/>
    </row>
    <row r="39" spans="1:14" x14ac:dyDescent="0.35">
      <c r="A39" s="4"/>
      <c r="B39" s="4" t="s">
        <v>137</v>
      </c>
      <c r="C39" s="4"/>
      <c r="D39" s="4"/>
      <c r="E39" s="4"/>
      <c r="F39" s="4"/>
      <c r="G39" s="4"/>
      <c r="H39" s="4"/>
      <c r="I39" s="4"/>
      <c r="J39" s="4"/>
      <c r="N39" t="s">
        <v>53</v>
      </c>
    </row>
    <row r="40" spans="1:14" x14ac:dyDescent="0.35">
      <c r="A40" s="4" t="s">
        <v>112</v>
      </c>
      <c r="B40" s="4"/>
      <c r="C40" s="4"/>
      <c r="D40" s="4"/>
      <c r="E40" s="4"/>
      <c r="F40" s="4"/>
      <c r="G40" s="4"/>
      <c r="H40" s="4"/>
      <c r="I40" s="4"/>
      <c r="J40" s="4"/>
    </row>
    <row r="41" spans="1:14" x14ac:dyDescent="0.35">
      <c r="A41" s="4"/>
      <c r="B41" s="4"/>
      <c r="C41" s="4"/>
      <c r="D41" s="4"/>
      <c r="E41" s="4"/>
      <c r="F41" s="4"/>
      <c r="G41" s="4" t="s">
        <v>53</v>
      </c>
      <c r="H41" s="4"/>
      <c r="I41" s="4"/>
      <c r="J41" s="4"/>
    </row>
    <row r="42" spans="1:14" x14ac:dyDescent="0.35">
      <c r="A42" s="1"/>
      <c r="B42" s="1"/>
      <c r="C42" s="1"/>
      <c r="D42" s="1"/>
      <c r="E42" s="1"/>
      <c r="F42" s="1"/>
      <c r="G42" s="1"/>
      <c r="H42" s="1"/>
      <c r="I42" s="1"/>
      <c r="J42" s="1"/>
    </row>
  </sheetData>
  <mergeCells count="13">
    <mergeCell ref="A7:C8"/>
    <mergeCell ref="I7:I8"/>
    <mergeCell ref="A27:C28"/>
    <mergeCell ref="J9:J10"/>
    <mergeCell ref="J11:J12"/>
    <mergeCell ref="J13:J14"/>
    <mergeCell ref="J15:J16"/>
    <mergeCell ref="J17:J18"/>
    <mergeCell ref="J19:J20"/>
    <mergeCell ref="J23:J24"/>
    <mergeCell ref="J25:J26"/>
    <mergeCell ref="J27:J28"/>
    <mergeCell ref="J21:J22"/>
  </mergeCells>
  <pageMargins left="0.78740157480314965" right="0.31496062992125984" top="0.74803149606299213" bottom="0.74803149606299213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4"/>
  <sheetViews>
    <sheetView view="pageBreakPreview" topLeftCell="A277" zoomScaleNormal="100" zoomScaleSheetLayoutView="100" workbookViewId="0">
      <selection activeCell="A283" sqref="A283:XFD283"/>
    </sheetView>
  </sheetViews>
  <sheetFormatPr defaultRowHeight="21" x14ac:dyDescent="0.35"/>
  <cols>
    <col min="4" max="9" width="8.625" customWidth="1"/>
    <col min="12" max="12" width="9.375" bestFit="1" customWidth="1"/>
  </cols>
  <sheetData>
    <row r="1" spans="1:11" x14ac:dyDescent="0.35">
      <c r="J1" s="1">
        <v>102</v>
      </c>
    </row>
    <row r="2" spans="1:11" x14ac:dyDescent="0.35">
      <c r="A2" s="3" t="s">
        <v>23</v>
      </c>
      <c r="B2" s="3" t="s">
        <v>55</v>
      </c>
    </row>
    <row r="3" spans="1:11" x14ac:dyDescent="0.35">
      <c r="A3" s="3" t="s">
        <v>56</v>
      </c>
      <c r="B3" s="3"/>
    </row>
    <row r="4" spans="1:11" ht="12" customHeight="1" x14ac:dyDescent="0.35">
      <c r="A4" s="3"/>
      <c r="B4" s="3"/>
    </row>
    <row r="5" spans="1:11" x14ac:dyDescent="0.35">
      <c r="A5" s="46" t="s">
        <v>57</v>
      </c>
      <c r="B5" s="3"/>
    </row>
    <row r="6" spans="1:11" x14ac:dyDescent="0.35">
      <c r="A6" s="1"/>
      <c r="B6" s="1" t="s">
        <v>58</v>
      </c>
      <c r="C6" s="3"/>
    </row>
    <row r="7" spans="1:11" x14ac:dyDescent="0.35">
      <c r="A7" s="1" t="s">
        <v>59</v>
      </c>
      <c r="B7" s="3"/>
    </row>
    <row r="8" spans="1:11" ht="18.95" customHeight="1" x14ac:dyDescent="0.35">
      <c r="A8" s="1"/>
    </row>
    <row r="9" spans="1:11" x14ac:dyDescent="0.35">
      <c r="A9" s="95" t="s">
        <v>25</v>
      </c>
      <c r="B9" s="96"/>
      <c r="C9" s="97"/>
      <c r="D9" s="26" t="s">
        <v>4</v>
      </c>
      <c r="E9" s="26" t="s">
        <v>4</v>
      </c>
      <c r="F9" s="26" t="s">
        <v>4</v>
      </c>
      <c r="G9" s="26" t="s">
        <v>4</v>
      </c>
      <c r="H9" s="26" t="s">
        <v>4</v>
      </c>
      <c r="I9" s="101" t="s">
        <v>28</v>
      </c>
      <c r="J9" s="26" t="s">
        <v>26</v>
      </c>
    </row>
    <row r="10" spans="1:11" x14ac:dyDescent="0.35">
      <c r="A10" s="98"/>
      <c r="B10" s="99"/>
      <c r="C10" s="100"/>
      <c r="D10" s="27" t="s">
        <v>29</v>
      </c>
      <c r="E10" s="27" t="s">
        <v>30</v>
      </c>
      <c r="F10" s="27" t="s">
        <v>31</v>
      </c>
      <c r="G10" s="27" t="s">
        <v>32</v>
      </c>
      <c r="H10" s="27" t="s">
        <v>33</v>
      </c>
      <c r="I10" s="102"/>
      <c r="J10" s="28" t="s">
        <v>27</v>
      </c>
    </row>
    <row r="11" spans="1:11" x14ac:dyDescent="0.35">
      <c r="A11" s="35" t="s">
        <v>34</v>
      </c>
      <c r="B11" s="36"/>
      <c r="C11" s="37"/>
      <c r="D11" s="29">
        <f>66*100/360</f>
        <v>18.333333333333332</v>
      </c>
      <c r="E11" s="29">
        <f>148*100/360</f>
        <v>41.111111111111114</v>
      </c>
      <c r="F11" s="29">
        <f>131*100/360</f>
        <v>36.388888888888886</v>
      </c>
      <c r="G11" s="29">
        <f>15*100/360</f>
        <v>4.166666666666667</v>
      </c>
      <c r="H11" s="29">
        <v>0</v>
      </c>
      <c r="I11" s="30">
        <f t="shared" ref="I11:I30" si="0">H11+G11+F11+E11+D11</f>
        <v>99.999999999999986</v>
      </c>
      <c r="J11" s="109" t="s">
        <v>30</v>
      </c>
    </row>
    <row r="12" spans="1:11" x14ac:dyDescent="0.35">
      <c r="A12" s="38" t="s">
        <v>35</v>
      </c>
      <c r="B12" s="39"/>
      <c r="C12" s="40"/>
      <c r="D12" s="31">
        <f>66*5/360</f>
        <v>0.91666666666666663</v>
      </c>
      <c r="E12" s="31">
        <f>4*148/360</f>
        <v>1.6444444444444444</v>
      </c>
      <c r="F12" s="31">
        <f>3*131/360</f>
        <v>1.0916666666666666</v>
      </c>
      <c r="G12" s="31">
        <f>2*15/360</f>
        <v>8.3333333333333329E-2</v>
      </c>
      <c r="H12" s="31">
        <v>0</v>
      </c>
      <c r="I12" s="71">
        <f t="shared" si="0"/>
        <v>3.7361111111111107</v>
      </c>
      <c r="J12" s="110"/>
    </row>
    <row r="13" spans="1:11" x14ac:dyDescent="0.35">
      <c r="A13" s="41" t="s">
        <v>36</v>
      </c>
      <c r="B13" s="42"/>
      <c r="C13" s="43"/>
      <c r="D13" s="32">
        <f>65*100/360</f>
        <v>18.055555555555557</v>
      </c>
      <c r="E13" s="32">
        <f>147*100/360</f>
        <v>40.833333333333336</v>
      </c>
      <c r="F13" s="32">
        <f>131*100/360</f>
        <v>36.388888888888886</v>
      </c>
      <c r="G13" s="32">
        <f>17*100/360</f>
        <v>4.7222222222222223</v>
      </c>
      <c r="H13" s="32">
        <v>0</v>
      </c>
      <c r="I13" s="33">
        <f t="shared" si="0"/>
        <v>100</v>
      </c>
      <c r="J13" s="109" t="s">
        <v>30</v>
      </c>
    </row>
    <row r="14" spans="1:11" x14ac:dyDescent="0.35">
      <c r="A14" s="38" t="s">
        <v>37</v>
      </c>
      <c r="B14" s="39"/>
      <c r="C14" s="40"/>
      <c r="D14" s="31">
        <f>65*5/360</f>
        <v>0.90277777777777779</v>
      </c>
      <c r="E14" s="31">
        <f>4*147/360</f>
        <v>1.6333333333333333</v>
      </c>
      <c r="F14" s="31">
        <f>131*3/360</f>
        <v>1.0916666666666666</v>
      </c>
      <c r="G14" s="31">
        <f>17*2/360</f>
        <v>9.4444444444444442E-2</v>
      </c>
      <c r="H14" s="31">
        <v>0</v>
      </c>
      <c r="I14" s="31">
        <f t="shared" si="0"/>
        <v>3.7222222222222219</v>
      </c>
      <c r="J14" s="110"/>
    </row>
    <row r="15" spans="1:11" x14ac:dyDescent="0.35">
      <c r="A15" s="41" t="s">
        <v>38</v>
      </c>
      <c r="B15" s="42"/>
      <c r="C15" s="43"/>
      <c r="D15" s="32">
        <f>65*100/360</f>
        <v>18.055555555555557</v>
      </c>
      <c r="E15" s="32">
        <f>138*100/360</f>
        <v>38.333333333333336</v>
      </c>
      <c r="F15" s="32">
        <f>132*100/360</f>
        <v>36.666666666666664</v>
      </c>
      <c r="G15" s="32">
        <f>25*100/360</f>
        <v>6.9444444444444446</v>
      </c>
      <c r="H15" s="32">
        <v>0</v>
      </c>
      <c r="I15" s="33">
        <f t="shared" si="0"/>
        <v>100</v>
      </c>
      <c r="J15" s="109" t="s">
        <v>30</v>
      </c>
    </row>
    <row r="16" spans="1:11" x14ac:dyDescent="0.35">
      <c r="A16" s="38" t="s">
        <v>39</v>
      </c>
      <c r="B16" s="39"/>
      <c r="C16" s="40"/>
      <c r="D16" s="31">
        <f>5*65/360</f>
        <v>0.90277777777777779</v>
      </c>
      <c r="E16" s="31">
        <f>4*138/360</f>
        <v>1.5333333333333334</v>
      </c>
      <c r="F16" s="31">
        <f>132*3/360</f>
        <v>1.1000000000000001</v>
      </c>
      <c r="G16" s="31">
        <f>25*2/360</f>
        <v>0.1388888888888889</v>
      </c>
      <c r="H16" s="31">
        <v>0</v>
      </c>
      <c r="I16" s="76">
        <f t="shared" si="0"/>
        <v>3.6749999999999998</v>
      </c>
      <c r="J16" s="110"/>
      <c r="K16" s="58"/>
    </row>
    <row r="17" spans="1:16" x14ac:dyDescent="0.35">
      <c r="A17" s="41" t="s">
        <v>40</v>
      </c>
      <c r="B17" s="42"/>
      <c r="C17" s="43"/>
      <c r="D17" s="32">
        <f>66*100/360</f>
        <v>18.333333333333332</v>
      </c>
      <c r="E17" s="32">
        <f>153*100/360</f>
        <v>42.5</v>
      </c>
      <c r="F17" s="32">
        <f>130*100/360</f>
        <v>36.111111111111114</v>
      </c>
      <c r="G17" s="32">
        <f>11*100/360</f>
        <v>3.0555555555555554</v>
      </c>
      <c r="H17" s="32">
        <v>0</v>
      </c>
      <c r="I17" s="33">
        <f t="shared" si="0"/>
        <v>100</v>
      </c>
      <c r="J17" s="109" t="s">
        <v>30</v>
      </c>
    </row>
    <row r="18" spans="1:16" x14ac:dyDescent="0.35">
      <c r="A18" s="38" t="s">
        <v>41</v>
      </c>
      <c r="B18" s="39"/>
      <c r="C18" s="40"/>
      <c r="D18" s="31">
        <f>5*66/360</f>
        <v>0.91666666666666663</v>
      </c>
      <c r="E18" s="31">
        <f>4*153/360</f>
        <v>1.7</v>
      </c>
      <c r="F18" s="31">
        <f>3*130/360</f>
        <v>1.0833333333333333</v>
      </c>
      <c r="G18" s="31">
        <f>2*11/360</f>
        <v>6.1111111111111109E-2</v>
      </c>
      <c r="H18" s="31">
        <v>0</v>
      </c>
      <c r="I18" s="31">
        <f t="shared" si="0"/>
        <v>3.7611111111111106</v>
      </c>
      <c r="J18" s="110"/>
    </row>
    <row r="19" spans="1:16" x14ac:dyDescent="0.35">
      <c r="A19" s="41" t="s">
        <v>42</v>
      </c>
      <c r="B19" s="42"/>
      <c r="C19" s="43"/>
      <c r="D19" s="32">
        <f>75*100/360</f>
        <v>20.833333333333332</v>
      </c>
      <c r="E19" s="32">
        <f>151*100/360</f>
        <v>41.944444444444443</v>
      </c>
      <c r="F19" s="32">
        <f>122*100/360</f>
        <v>33.888888888888886</v>
      </c>
      <c r="G19" s="32">
        <f>11*100/360</f>
        <v>3.0555555555555554</v>
      </c>
      <c r="H19" s="32">
        <f>1*100/360</f>
        <v>0.27777777777777779</v>
      </c>
      <c r="I19" s="33">
        <f t="shared" si="0"/>
        <v>99.999999999999986</v>
      </c>
      <c r="J19" s="109" t="s">
        <v>30</v>
      </c>
    </row>
    <row r="20" spans="1:16" x14ac:dyDescent="0.35">
      <c r="A20" s="38" t="s">
        <v>43</v>
      </c>
      <c r="B20" s="39"/>
      <c r="C20" s="40"/>
      <c r="D20" s="31">
        <f>75*5/360</f>
        <v>1.0416666666666667</v>
      </c>
      <c r="E20" s="31">
        <f>4*151/360</f>
        <v>1.6777777777777778</v>
      </c>
      <c r="F20" s="31">
        <f>122*3/360</f>
        <v>1.0166666666666666</v>
      </c>
      <c r="G20" s="31">
        <f>11*2/360</f>
        <v>6.1111111111111109E-2</v>
      </c>
      <c r="H20" s="31">
        <f>1*1/360</f>
        <v>2.7777777777777779E-3</v>
      </c>
      <c r="I20" s="71">
        <f t="shared" si="0"/>
        <v>3.8</v>
      </c>
      <c r="J20" s="110"/>
    </row>
    <row r="21" spans="1:16" x14ac:dyDescent="0.35">
      <c r="A21" s="41" t="s">
        <v>44</v>
      </c>
      <c r="B21" s="42"/>
      <c r="C21" s="43"/>
      <c r="D21" s="32">
        <f>69*100/360</f>
        <v>19.166666666666668</v>
      </c>
      <c r="E21" s="32">
        <f>151*100/360</f>
        <v>41.944444444444443</v>
      </c>
      <c r="F21" s="32">
        <f>132*100/360</f>
        <v>36.666666666666664</v>
      </c>
      <c r="G21" s="32">
        <f>8*100/360</f>
        <v>2.2222222222222223</v>
      </c>
      <c r="H21" s="32">
        <v>0</v>
      </c>
      <c r="I21" s="33">
        <f t="shared" si="0"/>
        <v>100</v>
      </c>
      <c r="J21" s="109" t="s">
        <v>30</v>
      </c>
    </row>
    <row r="22" spans="1:16" x14ac:dyDescent="0.35">
      <c r="A22" s="38" t="s">
        <v>45</v>
      </c>
      <c r="B22" s="39"/>
      <c r="C22" s="40"/>
      <c r="D22" s="31">
        <f>69*5/360</f>
        <v>0.95833333333333337</v>
      </c>
      <c r="E22" s="31">
        <f>4*151/360</f>
        <v>1.6777777777777778</v>
      </c>
      <c r="F22" s="31">
        <f>132*3/360</f>
        <v>1.1000000000000001</v>
      </c>
      <c r="G22" s="31">
        <f>2*8/360</f>
        <v>4.4444444444444446E-2</v>
      </c>
      <c r="H22" s="31">
        <v>0</v>
      </c>
      <c r="I22" s="31">
        <f t="shared" si="0"/>
        <v>3.7805555555555559</v>
      </c>
      <c r="J22" s="110"/>
    </row>
    <row r="23" spans="1:16" x14ac:dyDescent="0.35">
      <c r="A23" s="41" t="s">
        <v>46</v>
      </c>
      <c r="B23" s="42"/>
      <c r="C23" s="43"/>
      <c r="D23" s="32">
        <f>83*100/360</f>
        <v>23.055555555555557</v>
      </c>
      <c r="E23" s="32">
        <f>147*100/360</f>
        <v>40.833333333333336</v>
      </c>
      <c r="F23" s="32">
        <f>121*100/360</f>
        <v>33.611111111111114</v>
      </c>
      <c r="G23" s="32">
        <f>9*100/360</f>
        <v>2.5</v>
      </c>
      <c r="H23" s="32">
        <v>0</v>
      </c>
      <c r="I23" s="33">
        <f t="shared" si="0"/>
        <v>100.00000000000001</v>
      </c>
      <c r="J23" s="109" t="s">
        <v>30</v>
      </c>
    </row>
    <row r="24" spans="1:16" x14ac:dyDescent="0.35">
      <c r="A24" s="38" t="s">
        <v>47</v>
      </c>
      <c r="B24" s="39"/>
      <c r="C24" s="40"/>
      <c r="D24" s="31">
        <f>83*5/360</f>
        <v>1.1527777777777777</v>
      </c>
      <c r="E24" s="31">
        <f>147*4/360</f>
        <v>1.6333333333333333</v>
      </c>
      <c r="F24" s="31">
        <f>121*3/360</f>
        <v>1.0083333333333333</v>
      </c>
      <c r="G24" s="31">
        <f>9*2/360</f>
        <v>0.05</v>
      </c>
      <c r="H24" s="31">
        <v>0</v>
      </c>
      <c r="I24" s="87">
        <f t="shared" si="0"/>
        <v>3.8444444444444441</v>
      </c>
      <c r="J24" s="110"/>
    </row>
    <row r="25" spans="1:16" x14ac:dyDescent="0.35">
      <c r="A25" s="41" t="s">
        <v>48</v>
      </c>
      <c r="B25" s="42"/>
      <c r="C25" s="43"/>
      <c r="D25" s="32">
        <f>85*100/360</f>
        <v>23.611111111111111</v>
      </c>
      <c r="E25" s="32">
        <f>141*100/360</f>
        <v>39.166666666666664</v>
      </c>
      <c r="F25" s="32">
        <f>123*100/360</f>
        <v>34.166666666666664</v>
      </c>
      <c r="G25" s="32">
        <f>11*100/360</f>
        <v>3.0555555555555554</v>
      </c>
      <c r="H25" s="32">
        <v>0</v>
      </c>
      <c r="I25" s="33">
        <f t="shared" si="0"/>
        <v>100</v>
      </c>
      <c r="J25" s="109" t="s">
        <v>30</v>
      </c>
    </row>
    <row r="26" spans="1:16" x14ac:dyDescent="0.35">
      <c r="A26" s="38" t="s">
        <v>49</v>
      </c>
      <c r="B26" s="39"/>
      <c r="C26" s="40"/>
      <c r="D26" s="31">
        <f>85*5/360</f>
        <v>1.1805555555555556</v>
      </c>
      <c r="E26" s="31">
        <f>141*4/360</f>
        <v>1.5666666666666667</v>
      </c>
      <c r="F26" s="31">
        <f>123*3/360</f>
        <v>1.0249999999999999</v>
      </c>
      <c r="G26" s="31">
        <f>11*2/360</f>
        <v>6.1111111111111109E-2</v>
      </c>
      <c r="H26" s="31">
        <v>0</v>
      </c>
      <c r="I26" s="86">
        <f t="shared" si="0"/>
        <v>3.833333333333333</v>
      </c>
      <c r="J26" s="110"/>
      <c r="K26" s="58"/>
    </row>
    <row r="27" spans="1:16" x14ac:dyDescent="0.35">
      <c r="A27" s="41" t="s">
        <v>50</v>
      </c>
      <c r="B27" s="42"/>
      <c r="C27" s="43"/>
      <c r="D27" s="32">
        <f>84*100/360</f>
        <v>23.333333333333332</v>
      </c>
      <c r="E27" s="32">
        <f>139*100/360</f>
        <v>38.611111111111114</v>
      </c>
      <c r="F27" s="32">
        <f>128*100/360</f>
        <v>35.555555555555557</v>
      </c>
      <c r="G27" s="32">
        <f>8*100/360</f>
        <v>2.2222222222222223</v>
      </c>
      <c r="H27" s="32">
        <f>1*100/360</f>
        <v>0.27777777777777779</v>
      </c>
      <c r="I27" s="33">
        <f t="shared" si="0"/>
        <v>100</v>
      </c>
      <c r="J27" s="109" t="s">
        <v>30</v>
      </c>
      <c r="K27" s="57">
        <f>D27+D25+D23+D21+D19+D17+D15+D13+D11</f>
        <v>182.7777777777778</v>
      </c>
      <c r="L27" s="57">
        <f>E27+E25+E23+E21+E19+E17+E15+E13+E11</f>
        <v>365.27777777777771</v>
      </c>
      <c r="M27" s="57">
        <f>F27+F25+F23+F21+F19+F17+F15+F13+F11</f>
        <v>319.44444444444446</v>
      </c>
      <c r="N27" s="57">
        <f>G27+G25+G23+G21+G19+G17+G15+G13+G11</f>
        <v>31.944444444444446</v>
      </c>
      <c r="O27" s="57">
        <f>H27+H25+H23+H21+H19+H17+H15+H13+H11</f>
        <v>0.55555555555555558</v>
      </c>
      <c r="P27" s="58">
        <f>SUM(K27:O27)</f>
        <v>900</v>
      </c>
    </row>
    <row r="28" spans="1:16" x14ac:dyDescent="0.35">
      <c r="A28" s="38" t="s">
        <v>51</v>
      </c>
      <c r="B28" s="39"/>
      <c r="C28" s="40"/>
      <c r="D28" s="31">
        <f>84*5/360</f>
        <v>1.1666666666666667</v>
      </c>
      <c r="E28" s="31">
        <f>139*4/360</f>
        <v>1.5444444444444445</v>
      </c>
      <c r="F28" s="31">
        <f>128*3/360</f>
        <v>1.0666666666666667</v>
      </c>
      <c r="G28" s="31">
        <f>8*2/360</f>
        <v>4.4444444444444446E-2</v>
      </c>
      <c r="H28" s="31">
        <f>1*1/360</f>
        <v>2.7777777777777779E-3</v>
      </c>
      <c r="I28" s="85">
        <f t="shared" si="0"/>
        <v>3.8250000000000002</v>
      </c>
      <c r="J28" s="110"/>
      <c r="K28" s="59">
        <f>K27/9</f>
        <v>20.308641975308646</v>
      </c>
      <c r="L28" s="59">
        <f>L27/9</f>
        <v>40.58641975308641</v>
      </c>
      <c r="M28" s="59">
        <f>M27/9</f>
        <v>35.493827160493829</v>
      </c>
      <c r="N28" s="59">
        <f>N27/9</f>
        <v>3.5493827160493829</v>
      </c>
      <c r="O28" s="59">
        <f>O27/9</f>
        <v>6.1728395061728399E-2</v>
      </c>
      <c r="P28" s="58">
        <f>SUM(K28:O28)</f>
        <v>100</v>
      </c>
    </row>
    <row r="29" spans="1:16" x14ac:dyDescent="0.35">
      <c r="A29" s="103" t="s">
        <v>52</v>
      </c>
      <c r="B29" s="104"/>
      <c r="C29" s="105"/>
      <c r="D29" s="34">
        <f>K28</f>
        <v>20.308641975308646</v>
      </c>
      <c r="E29" s="34">
        <f>L28</f>
        <v>40.58641975308641</v>
      </c>
      <c r="F29" s="34">
        <f>M28</f>
        <v>35.493827160493829</v>
      </c>
      <c r="G29" s="34">
        <f>N28</f>
        <v>3.5493827160493829</v>
      </c>
      <c r="H29" s="34">
        <f>O28</f>
        <v>6.1728395061728399E-2</v>
      </c>
      <c r="I29" s="34">
        <f t="shared" si="0"/>
        <v>100</v>
      </c>
      <c r="J29" s="111" t="s">
        <v>30</v>
      </c>
      <c r="K29" s="60">
        <f>D28+D26+D24+D22+D20+D18+D16+D14+D12</f>
        <v>9.1388888888888893</v>
      </c>
      <c r="L29" s="60">
        <f>E28+E26+E24+E22+E20+E18+E16+E14+E12</f>
        <v>14.611111111111109</v>
      </c>
      <c r="M29" s="60">
        <f>F28+F26+F24+F22+F20+F18+F16+F14+F12</f>
        <v>9.5833333333333339</v>
      </c>
      <c r="N29" s="60">
        <f>G28+G26+G24+G22+G20+G18+G16+G14+G12</f>
        <v>0.63888888888888895</v>
      </c>
      <c r="O29" s="60">
        <f>H28+H26+H24+H22+H20+H18+H16+H14+H12</f>
        <v>5.5555555555555558E-3</v>
      </c>
      <c r="P29" s="58">
        <f>K29+L29+M29+N29+O29</f>
        <v>33.977777777777774</v>
      </c>
    </row>
    <row r="30" spans="1:16" x14ac:dyDescent="0.35">
      <c r="A30" s="106"/>
      <c r="B30" s="107"/>
      <c r="C30" s="108"/>
      <c r="D30" s="70">
        <f>K30</f>
        <v>1.0154320987654322</v>
      </c>
      <c r="E30" s="70">
        <f>L30</f>
        <v>1.6234567901234565</v>
      </c>
      <c r="F30" s="70">
        <f>M30</f>
        <v>1.0648148148148149</v>
      </c>
      <c r="G30" s="70">
        <f>N30</f>
        <v>7.0987654320987664E-2</v>
      </c>
      <c r="H30" s="70">
        <f>O30</f>
        <v>6.1728395061728394E-4</v>
      </c>
      <c r="I30" s="78">
        <f t="shared" si="0"/>
        <v>3.7753086419753084</v>
      </c>
      <c r="J30" s="112"/>
      <c r="K30" s="61">
        <f>K29/9</f>
        <v>1.0154320987654322</v>
      </c>
      <c r="L30" s="61">
        <f>L29/9</f>
        <v>1.6234567901234565</v>
      </c>
      <c r="M30" s="61">
        <f>M29/9</f>
        <v>1.0648148148148149</v>
      </c>
      <c r="N30" s="61">
        <f>N29/9</f>
        <v>7.0987654320987664E-2</v>
      </c>
      <c r="O30" s="61">
        <f>O29/9</f>
        <v>6.1728395061728394E-4</v>
      </c>
      <c r="P30" s="58">
        <f>SUM(K30:O30)</f>
        <v>3.7753086419753084</v>
      </c>
    </row>
    <row r="31" spans="1:16" ht="9" customHeight="1" x14ac:dyDescent="0.35">
      <c r="A31" s="24"/>
      <c r="B31" s="24"/>
      <c r="C31" s="24"/>
      <c r="D31" s="25"/>
      <c r="E31" s="24"/>
      <c r="F31" s="24"/>
      <c r="G31" s="24"/>
      <c r="H31" s="24"/>
      <c r="I31" s="24"/>
      <c r="J31" s="24"/>
    </row>
    <row r="32" spans="1:16" x14ac:dyDescent="0.35">
      <c r="A32" s="4"/>
      <c r="B32" s="1" t="s">
        <v>120</v>
      </c>
      <c r="C32" s="4"/>
      <c r="D32" s="4"/>
      <c r="E32" s="4"/>
      <c r="F32" s="4"/>
      <c r="G32" s="4"/>
      <c r="H32" s="4"/>
      <c r="I32" s="4"/>
      <c r="J32" s="4"/>
    </row>
    <row r="33" spans="1:10" x14ac:dyDescent="0.35">
      <c r="A33" s="4" t="s">
        <v>110</v>
      </c>
      <c r="B33" s="4"/>
      <c r="C33" s="4"/>
      <c r="D33" s="4"/>
      <c r="E33" s="4"/>
      <c r="F33" s="4"/>
      <c r="G33" s="4"/>
      <c r="H33" s="4"/>
      <c r="I33" s="4"/>
      <c r="J33" s="4"/>
    </row>
    <row r="34" spans="1:10" x14ac:dyDescent="0.35">
      <c r="A34" s="4"/>
      <c r="B34" s="1" t="s">
        <v>118</v>
      </c>
      <c r="C34" s="4"/>
      <c r="D34" s="4"/>
      <c r="E34" s="4"/>
      <c r="F34" s="4"/>
      <c r="G34" s="4"/>
      <c r="H34" s="4"/>
      <c r="I34" s="4"/>
      <c r="J34" s="4"/>
    </row>
    <row r="35" spans="1:10" x14ac:dyDescent="0.35">
      <c r="A35" s="4" t="s">
        <v>114</v>
      </c>
      <c r="B35" s="4"/>
      <c r="C35" s="4"/>
      <c r="D35" s="4"/>
      <c r="E35" s="4"/>
      <c r="F35" s="4"/>
      <c r="G35" s="4"/>
      <c r="H35" s="4"/>
      <c r="I35" s="4"/>
      <c r="J35" s="4"/>
    </row>
    <row r="36" spans="1:10" x14ac:dyDescent="0.35">
      <c r="A36" s="4" t="s">
        <v>138</v>
      </c>
      <c r="B36" s="4"/>
      <c r="C36" s="4"/>
      <c r="D36" s="4"/>
      <c r="E36" s="4"/>
      <c r="F36" s="4"/>
      <c r="G36" s="4"/>
      <c r="H36" s="4"/>
      <c r="I36" s="4"/>
      <c r="J36" s="4"/>
    </row>
    <row r="37" spans="1:10" x14ac:dyDescent="0.35">
      <c r="A37" s="4" t="s">
        <v>139</v>
      </c>
      <c r="B37" s="4"/>
      <c r="C37" s="4"/>
      <c r="D37" s="4"/>
      <c r="E37" s="4"/>
      <c r="F37" s="4"/>
      <c r="G37" s="4"/>
      <c r="H37" s="4"/>
      <c r="I37" s="4"/>
      <c r="J37" s="4"/>
    </row>
    <row r="38" spans="1:10" x14ac:dyDescent="0.35">
      <c r="A38" s="4" t="s">
        <v>140</v>
      </c>
      <c r="B38" s="4"/>
      <c r="C38" s="4"/>
      <c r="D38" s="4"/>
      <c r="E38" s="4"/>
      <c r="F38" s="4"/>
      <c r="G38" s="4"/>
      <c r="H38" s="4"/>
      <c r="I38" s="4"/>
      <c r="J38" s="4"/>
    </row>
    <row r="39" spans="1:10" x14ac:dyDescent="0.35">
      <c r="A39" s="4" t="s">
        <v>141</v>
      </c>
      <c r="B39" s="4"/>
      <c r="C39" s="4"/>
      <c r="D39" s="4"/>
      <c r="E39" s="4"/>
      <c r="F39" s="4"/>
      <c r="G39" s="4"/>
      <c r="H39" s="4"/>
      <c r="I39" s="4"/>
      <c r="J39" s="4"/>
    </row>
    <row r="40" spans="1:10" x14ac:dyDescent="0.35">
      <c r="A40" s="4" t="s">
        <v>142</v>
      </c>
      <c r="B40" s="4"/>
      <c r="C40" s="4"/>
      <c r="D40" s="4"/>
      <c r="E40" s="4"/>
      <c r="F40" s="4" t="s">
        <v>53</v>
      </c>
      <c r="G40" s="4"/>
      <c r="H40" s="4"/>
      <c r="I40" s="4"/>
      <c r="J40" s="4"/>
    </row>
    <row r="41" spans="1:10" ht="17.25" customHeight="1" x14ac:dyDescent="0.35">
      <c r="A41" s="4"/>
      <c r="B41" s="4" t="s">
        <v>143</v>
      </c>
      <c r="C41" s="4"/>
      <c r="D41" s="4"/>
      <c r="E41" s="4"/>
      <c r="F41" s="4"/>
      <c r="G41" s="4"/>
      <c r="H41" s="4"/>
      <c r="I41" s="4"/>
      <c r="J41" s="4"/>
    </row>
    <row r="42" spans="1:10" x14ac:dyDescent="0.35">
      <c r="A42" s="4" t="s">
        <v>144</v>
      </c>
      <c r="B42" s="4"/>
      <c r="C42" s="4"/>
      <c r="D42" s="4"/>
      <c r="E42" s="4"/>
      <c r="F42" s="4"/>
      <c r="G42" s="4"/>
      <c r="H42" s="4"/>
      <c r="I42" s="4"/>
      <c r="J42" s="4"/>
    </row>
    <row r="43" spans="1:10" x14ac:dyDescent="0.35">
      <c r="A43" s="4"/>
      <c r="B43" s="4"/>
      <c r="C43" s="4"/>
      <c r="D43" s="4"/>
      <c r="E43" s="4"/>
      <c r="F43" s="4"/>
      <c r="G43" s="4" t="s">
        <v>53</v>
      </c>
      <c r="H43" s="4"/>
      <c r="I43" s="4"/>
      <c r="J43" s="4">
        <v>103</v>
      </c>
    </row>
    <row r="44" spans="1:10" x14ac:dyDescent="0.35">
      <c r="A44" s="46" t="s">
        <v>60</v>
      </c>
      <c r="B44" s="3"/>
    </row>
    <row r="45" spans="1:10" x14ac:dyDescent="0.35">
      <c r="A45" s="1"/>
      <c r="B45" s="1" t="s">
        <v>63</v>
      </c>
      <c r="C45" s="3"/>
    </row>
    <row r="46" spans="1:10" x14ac:dyDescent="0.35">
      <c r="A46" s="1" t="s">
        <v>64</v>
      </c>
      <c r="B46" s="3"/>
    </row>
    <row r="47" spans="1:10" x14ac:dyDescent="0.35">
      <c r="A47" s="1"/>
    </row>
    <row r="48" spans="1:10" x14ac:dyDescent="0.35">
      <c r="A48" s="95" t="s">
        <v>25</v>
      </c>
      <c r="B48" s="96"/>
      <c r="C48" s="97"/>
      <c r="D48" s="26" t="s">
        <v>4</v>
      </c>
      <c r="E48" s="26" t="s">
        <v>4</v>
      </c>
      <c r="F48" s="26" t="s">
        <v>4</v>
      </c>
      <c r="G48" s="26" t="s">
        <v>4</v>
      </c>
      <c r="H48" s="26" t="s">
        <v>4</v>
      </c>
      <c r="I48" s="101" t="s">
        <v>28</v>
      </c>
      <c r="J48" s="26" t="s">
        <v>26</v>
      </c>
    </row>
    <row r="49" spans="1:11" x14ac:dyDescent="0.35">
      <c r="A49" s="98"/>
      <c r="B49" s="99"/>
      <c r="C49" s="100"/>
      <c r="D49" s="27" t="s">
        <v>29</v>
      </c>
      <c r="E49" s="27" t="s">
        <v>30</v>
      </c>
      <c r="F49" s="27" t="s">
        <v>31</v>
      </c>
      <c r="G49" s="27" t="s">
        <v>32</v>
      </c>
      <c r="H49" s="27" t="s">
        <v>33</v>
      </c>
      <c r="I49" s="102"/>
      <c r="J49" s="28" t="s">
        <v>27</v>
      </c>
    </row>
    <row r="50" spans="1:11" x14ac:dyDescent="0.35">
      <c r="A50" s="35" t="s">
        <v>34</v>
      </c>
      <c r="B50" s="36"/>
      <c r="C50" s="37"/>
      <c r="D50" s="29">
        <f>73*100/360</f>
        <v>20.277777777777779</v>
      </c>
      <c r="E50" s="29">
        <f>139*100/360</f>
        <v>38.611111111111114</v>
      </c>
      <c r="F50" s="29">
        <f>129*100/360</f>
        <v>35.833333333333336</v>
      </c>
      <c r="G50" s="29">
        <f>19*100/360</f>
        <v>5.2777777777777777</v>
      </c>
      <c r="H50" s="29">
        <v>0</v>
      </c>
      <c r="I50" s="30">
        <f t="shared" ref="I50:I69" si="1">H50+G50+F50+E50+D50</f>
        <v>100</v>
      </c>
      <c r="J50" s="109" t="s">
        <v>30</v>
      </c>
    </row>
    <row r="51" spans="1:11" x14ac:dyDescent="0.35">
      <c r="A51" s="38" t="s">
        <v>35</v>
      </c>
      <c r="B51" s="39"/>
      <c r="C51" s="40"/>
      <c r="D51" s="31">
        <f>73*5/360</f>
        <v>1.0138888888888888</v>
      </c>
      <c r="E51" s="31">
        <f>139*4/360</f>
        <v>1.5444444444444445</v>
      </c>
      <c r="F51" s="31">
        <f>129*3/360</f>
        <v>1.075</v>
      </c>
      <c r="G51" s="31">
        <f>2*19/360</f>
        <v>0.10555555555555556</v>
      </c>
      <c r="H51" s="31">
        <v>0</v>
      </c>
      <c r="I51" s="79">
        <f t="shared" si="1"/>
        <v>3.7388888888888889</v>
      </c>
      <c r="J51" s="110"/>
    </row>
    <row r="52" spans="1:11" x14ac:dyDescent="0.35">
      <c r="A52" s="41" t="s">
        <v>36</v>
      </c>
      <c r="B52" s="42"/>
      <c r="C52" s="43"/>
      <c r="D52" s="32">
        <f>71*100/360</f>
        <v>19.722222222222221</v>
      </c>
      <c r="E52" s="32">
        <f>139*100/360</f>
        <v>38.611111111111114</v>
      </c>
      <c r="F52" s="32">
        <f>129*100/360</f>
        <v>35.833333333333336</v>
      </c>
      <c r="G52" s="32">
        <f>21*100/360</f>
        <v>5.833333333333333</v>
      </c>
      <c r="H52" s="32">
        <v>0</v>
      </c>
      <c r="I52" s="33">
        <f t="shared" si="1"/>
        <v>100</v>
      </c>
      <c r="J52" s="109" t="s">
        <v>30</v>
      </c>
    </row>
    <row r="53" spans="1:11" x14ac:dyDescent="0.35">
      <c r="A53" s="38" t="s">
        <v>37</v>
      </c>
      <c r="B53" s="39"/>
      <c r="C53" s="40"/>
      <c r="D53" s="31">
        <f>5*71/360</f>
        <v>0.98611111111111116</v>
      </c>
      <c r="E53" s="31">
        <f>139*4/360</f>
        <v>1.5444444444444445</v>
      </c>
      <c r="F53" s="31">
        <f>3*129/360</f>
        <v>1.075</v>
      </c>
      <c r="G53" s="31">
        <f>2*21/360</f>
        <v>0.11666666666666667</v>
      </c>
      <c r="H53" s="31">
        <v>0</v>
      </c>
      <c r="I53" s="31">
        <f t="shared" si="1"/>
        <v>3.7222222222222223</v>
      </c>
      <c r="J53" s="110"/>
    </row>
    <row r="54" spans="1:11" x14ac:dyDescent="0.35">
      <c r="A54" s="41" t="s">
        <v>38</v>
      </c>
      <c r="B54" s="42"/>
      <c r="C54" s="43"/>
      <c r="D54" s="32">
        <f>72*100/360</f>
        <v>20</v>
      </c>
      <c r="E54" s="32">
        <f>133*100/360</f>
        <v>36.944444444444443</v>
      </c>
      <c r="F54" s="32">
        <f>130*100/360</f>
        <v>36.111111111111114</v>
      </c>
      <c r="G54" s="32">
        <f>24*100/360</f>
        <v>6.666666666666667</v>
      </c>
      <c r="H54" s="32">
        <f>1*100/360</f>
        <v>0.27777777777777779</v>
      </c>
      <c r="I54" s="33">
        <f t="shared" si="1"/>
        <v>100</v>
      </c>
      <c r="J54" s="109" t="s">
        <v>30</v>
      </c>
    </row>
    <row r="55" spans="1:11" x14ac:dyDescent="0.35">
      <c r="A55" s="38" t="s">
        <v>39</v>
      </c>
      <c r="B55" s="39"/>
      <c r="C55" s="40"/>
      <c r="D55" s="31">
        <f>5*72/360</f>
        <v>1</v>
      </c>
      <c r="E55" s="31">
        <f>4*133/360</f>
        <v>1.4777777777777779</v>
      </c>
      <c r="F55" s="31">
        <f>3*130/360</f>
        <v>1.0833333333333333</v>
      </c>
      <c r="G55" s="31">
        <f>24*2/360</f>
        <v>0.13333333333333333</v>
      </c>
      <c r="H55" s="31">
        <f>1*1/360</f>
        <v>2.7777777777777779E-3</v>
      </c>
      <c r="I55" s="76">
        <f t="shared" si="1"/>
        <v>3.697222222222222</v>
      </c>
      <c r="J55" s="110"/>
      <c r="K55" s="58">
        <f>D55+E55+F55+G55+H55</f>
        <v>3.697222222222222</v>
      </c>
    </row>
    <row r="56" spans="1:11" x14ac:dyDescent="0.35">
      <c r="A56" s="41" t="s">
        <v>40</v>
      </c>
      <c r="B56" s="42"/>
      <c r="C56" s="43"/>
      <c r="D56" s="32">
        <f>74*100/360</f>
        <v>20.555555555555557</v>
      </c>
      <c r="E56" s="32">
        <f>136*100/360</f>
        <v>37.777777777777779</v>
      </c>
      <c r="F56" s="32">
        <f>136*100/360</f>
        <v>37.777777777777779</v>
      </c>
      <c r="G56" s="32">
        <f>13*100/360</f>
        <v>3.6111111111111112</v>
      </c>
      <c r="H56" s="32">
        <f>1*100/360</f>
        <v>0.27777777777777779</v>
      </c>
      <c r="I56" s="33">
        <f t="shared" si="1"/>
        <v>100</v>
      </c>
      <c r="J56" s="109" t="s">
        <v>30</v>
      </c>
    </row>
    <row r="57" spans="1:11" x14ac:dyDescent="0.35">
      <c r="A57" s="38" t="s">
        <v>41</v>
      </c>
      <c r="B57" s="39"/>
      <c r="C57" s="40"/>
      <c r="D57" s="31">
        <f>5*74/360</f>
        <v>1.0277777777777777</v>
      </c>
      <c r="E57" s="31">
        <f>4*136/360</f>
        <v>1.5111111111111111</v>
      </c>
      <c r="F57" s="31">
        <f>3*136/360</f>
        <v>1.1333333333333333</v>
      </c>
      <c r="G57" s="31">
        <f>2*13/360</f>
        <v>7.2222222222222215E-2</v>
      </c>
      <c r="H57" s="31">
        <f>1*1/360</f>
        <v>2.7777777777777779E-3</v>
      </c>
      <c r="I57" s="31">
        <f t="shared" si="1"/>
        <v>3.7472222222222218</v>
      </c>
      <c r="J57" s="110"/>
    </row>
    <row r="58" spans="1:11" x14ac:dyDescent="0.35">
      <c r="A58" s="41" t="s">
        <v>42</v>
      </c>
      <c r="B58" s="42"/>
      <c r="C58" s="43"/>
      <c r="D58" s="32">
        <f>79*100/360</f>
        <v>21.944444444444443</v>
      </c>
      <c r="E58" s="32">
        <f>145*100/360</f>
        <v>40.277777777777779</v>
      </c>
      <c r="F58" s="32">
        <f>122*100/360</f>
        <v>33.888888888888886</v>
      </c>
      <c r="G58" s="32">
        <f>12*100/360</f>
        <v>3.3333333333333335</v>
      </c>
      <c r="H58" s="32">
        <f>2*100/360</f>
        <v>0.55555555555555558</v>
      </c>
      <c r="I58" s="33">
        <f t="shared" si="1"/>
        <v>99.999999999999986</v>
      </c>
      <c r="J58" s="109" t="s">
        <v>30</v>
      </c>
    </row>
    <row r="59" spans="1:11" x14ac:dyDescent="0.35">
      <c r="A59" s="38" t="s">
        <v>43</v>
      </c>
      <c r="B59" s="39"/>
      <c r="C59" s="40"/>
      <c r="D59" s="31">
        <f>79*5/360</f>
        <v>1.0972222222222223</v>
      </c>
      <c r="E59" s="31">
        <f>4*145/360</f>
        <v>1.6111111111111112</v>
      </c>
      <c r="F59" s="31">
        <f>3*122/360</f>
        <v>1.0166666666666666</v>
      </c>
      <c r="G59" s="31">
        <f>2*12/360</f>
        <v>6.6666666666666666E-2</v>
      </c>
      <c r="H59" s="31">
        <f>2*1/360</f>
        <v>5.5555555555555558E-3</v>
      </c>
      <c r="I59" s="71">
        <f t="shared" si="1"/>
        <v>3.7972222222222225</v>
      </c>
      <c r="J59" s="110"/>
    </row>
    <row r="60" spans="1:11" x14ac:dyDescent="0.35">
      <c r="A60" s="41" t="s">
        <v>44</v>
      </c>
      <c r="B60" s="42"/>
      <c r="C60" s="43"/>
      <c r="D60" s="32">
        <f>74*100/360</f>
        <v>20.555555555555557</v>
      </c>
      <c r="E60" s="32">
        <f>139*100/360</f>
        <v>38.611111111111114</v>
      </c>
      <c r="F60" s="32">
        <f>135*100/360</f>
        <v>37.5</v>
      </c>
      <c r="G60" s="32">
        <f>12*100/360</f>
        <v>3.3333333333333335</v>
      </c>
      <c r="H60" s="32">
        <v>0</v>
      </c>
      <c r="I60" s="33">
        <f t="shared" si="1"/>
        <v>100.00000000000001</v>
      </c>
      <c r="J60" s="109" t="s">
        <v>30</v>
      </c>
    </row>
    <row r="61" spans="1:11" x14ac:dyDescent="0.35">
      <c r="A61" s="38" t="s">
        <v>45</v>
      </c>
      <c r="B61" s="39"/>
      <c r="C61" s="40"/>
      <c r="D61" s="31">
        <f>5*74/360</f>
        <v>1.0277777777777777</v>
      </c>
      <c r="E61" s="31">
        <f>4*139/360</f>
        <v>1.5444444444444445</v>
      </c>
      <c r="F61" s="31">
        <f>3*135/360</f>
        <v>1.125</v>
      </c>
      <c r="G61" s="31">
        <f>13*2/360</f>
        <v>7.2222222222222215E-2</v>
      </c>
      <c r="H61" s="31">
        <v>0</v>
      </c>
      <c r="I61" s="31">
        <f t="shared" si="1"/>
        <v>3.7694444444444444</v>
      </c>
      <c r="J61" s="110"/>
    </row>
    <row r="62" spans="1:11" x14ac:dyDescent="0.35">
      <c r="A62" s="41" t="s">
        <v>46</v>
      </c>
      <c r="B62" s="42"/>
      <c r="C62" s="43"/>
      <c r="D62" s="32">
        <f>89*100/360</f>
        <v>24.722222222222221</v>
      </c>
      <c r="E62" s="32">
        <f>137*100/360</f>
        <v>38.055555555555557</v>
      </c>
      <c r="F62" s="32">
        <f>119*100/360</f>
        <v>33.055555555555557</v>
      </c>
      <c r="G62" s="32">
        <f>14*100/360</f>
        <v>3.8888888888888888</v>
      </c>
      <c r="H62" s="32">
        <f>1*100/360</f>
        <v>0.27777777777777779</v>
      </c>
      <c r="I62" s="33">
        <f t="shared" si="1"/>
        <v>100</v>
      </c>
      <c r="J62" s="109" t="s">
        <v>30</v>
      </c>
    </row>
    <row r="63" spans="1:11" x14ac:dyDescent="0.35">
      <c r="A63" s="38" t="s">
        <v>47</v>
      </c>
      <c r="B63" s="39"/>
      <c r="C63" s="40"/>
      <c r="D63" s="31">
        <f>5*89/360</f>
        <v>1.2361111111111112</v>
      </c>
      <c r="E63" s="31">
        <f>137*4/360</f>
        <v>1.5222222222222221</v>
      </c>
      <c r="F63" s="31">
        <f>119*3/360</f>
        <v>0.9916666666666667</v>
      </c>
      <c r="G63" s="31">
        <f>14*2/360</f>
        <v>7.7777777777777779E-2</v>
      </c>
      <c r="H63" s="31">
        <f>1*1/360</f>
        <v>2.7777777777777779E-3</v>
      </c>
      <c r="I63" s="31">
        <f t="shared" si="1"/>
        <v>3.8305555555555553</v>
      </c>
      <c r="J63" s="110"/>
    </row>
    <row r="64" spans="1:11" x14ac:dyDescent="0.35">
      <c r="A64" s="41" t="s">
        <v>48</v>
      </c>
      <c r="B64" s="42"/>
      <c r="C64" s="43"/>
      <c r="D64" s="32">
        <f>91*100/360</f>
        <v>25.277777777777779</v>
      </c>
      <c r="E64" s="32">
        <f>137*100/360</f>
        <v>38.055555555555557</v>
      </c>
      <c r="F64" s="32">
        <f>119*100/360</f>
        <v>33.055555555555557</v>
      </c>
      <c r="G64" s="32">
        <f>13*100/360</f>
        <v>3.6111111111111112</v>
      </c>
      <c r="H64" s="32">
        <v>0</v>
      </c>
      <c r="I64" s="33">
        <f t="shared" si="1"/>
        <v>100</v>
      </c>
      <c r="J64" s="109" t="s">
        <v>30</v>
      </c>
      <c r="K64" s="58"/>
    </row>
    <row r="65" spans="1:16" x14ac:dyDescent="0.35">
      <c r="A65" s="38" t="s">
        <v>49</v>
      </c>
      <c r="B65" s="39"/>
      <c r="C65" s="40"/>
      <c r="D65" s="31">
        <f>5*91/360</f>
        <v>1.2638888888888888</v>
      </c>
      <c r="E65" s="31">
        <f>137*4/360</f>
        <v>1.5222222222222221</v>
      </c>
      <c r="F65" s="31">
        <f>119*3/360</f>
        <v>0.9916666666666667</v>
      </c>
      <c r="G65" s="31">
        <f>13*2/360</f>
        <v>7.2222222222222215E-2</v>
      </c>
      <c r="H65" s="31">
        <v>0</v>
      </c>
      <c r="I65" s="88">
        <f t="shared" si="1"/>
        <v>3.85</v>
      </c>
      <c r="J65" s="110"/>
      <c r="O65" s="58">
        <f>H66+H64+H62+H60+H58+H56+H54+H52+H50</f>
        <v>1.6666666666666665</v>
      </c>
    </row>
    <row r="66" spans="1:16" x14ac:dyDescent="0.35">
      <c r="A66" s="41" t="s">
        <v>50</v>
      </c>
      <c r="B66" s="42"/>
      <c r="C66" s="43"/>
      <c r="D66" s="32">
        <f>90*100/360</f>
        <v>25</v>
      </c>
      <c r="E66" s="32">
        <f>134*100/360</f>
        <v>37.222222222222221</v>
      </c>
      <c r="F66" s="32">
        <f>126*100/360</f>
        <v>35</v>
      </c>
      <c r="G66" s="32">
        <f>9*100/360</f>
        <v>2.5</v>
      </c>
      <c r="H66" s="32">
        <f>1*100/360</f>
        <v>0.27777777777777779</v>
      </c>
      <c r="I66" s="33">
        <f t="shared" si="1"/>
        <v>100</v>
      </c>
      <c r="J66" s="109" t="s">
        <v>30</v>
      </c>
      <c r="K66" s="57">
        <f>D50+D52+D54+D56+D58+D60+D62+D64+D66</f>
        <v>198.05555555555554</v>
      </c>
      <c r="L66" s="57">
        <f>E66+E64+E62+E60+E58+E56+E54+E52+E50</f>
        <v>344.16666666666663</v>
      </c>
      <c r="M66" s="57">
        <f>F66+F64+F62+F60+F58+F56+F54+F52+F50</f>
        <v>318.05555555555554</v>
      </c>
      <c r="N66" s="57">
        <f>G66+G64+G62+G60+G58+G56+G54+G52+G50</f>
        <v>38.055555555555557</v>
      </c>
      <c r="O66" s="57">
        <f>H50+H52+H54+H56+H58+H60+H62+H64+H66</f>
        <v>1.6666666666666665</v>
      </c>
      <c r="P66" s="58">
        <f>SUM(K66:O66)</f>
        <v>899.99999999999989</v>
      </c>
    </row>
    <row r="67" spans="1:16" x14ac:dyDescent="0.35">
      <c r="A67" s="38" t="s">
        <v>51</v>
      </c>
      <c r="B67" s="39"/>
      <c r="C67" s="40"/>
      <c r="D67" s="31">
        <f>90*5/360</f>
        <v>1.25</v>
      </c>
      <c r="E67" s="31">
        <f>134*4/360</f>
        <v>1.4888888888888889</v>
      </c>
      <c r="F67" s="31">
        <f>3*126/360</f>
        <v>1.05</v>
      </c>
      <c r="G67" s="31">
        <f>9*2/360</f>
        <v>0.05</v>
      </c>
      <c r="H67" s="31">
        <f>1*1/360</f>
        <v>2.7777777777777779E-3</v>
      </c>
      <c r="I67" s="85">
        <f t="shared" si="1"/>
        <v>3.8416666666666668</v>
      </c>
      <c r="J67" s="110"/>
      <c r="K67" s="59">
        <f>K66/9</f>
        <v>22.006172839506171</v>
      </c>
      <c r="L67" s="59">
        <f>L66/9</f>
        <v>38.240740740740733</v>
      </c>
      <c r="M67" s="59">
        <f>M66/9</f>
        <v>35.339506172839506</v>
      </c>
      <c r="N67" s="59">
        <f>N66/9</f>
        <v>4.2283950617283956</v>
      </c>
      <c r="O67" s="59">
        <f>O66/9</f>
        <v>0.18518518518518517</v>
      </c>
      <c r="P67" s="58">
        <f>K67+L67+M67+N67+O67</f>
        <v>99.999999999999986</v>
      </c>
    </row>
    <row r="68" spans="1:16" x14ac:dyDescent="0.35">
      <c r="A68" s="103" t="s">
        <v>52</v>
      </c>
      <c r="B68" s="104"/>
      <c r="C68" s="105"/>
      <c r="D68" s="34">
        <f>K67</f>
        <v>22.006172839506171</v>
      </c>
      <c r="E68" s="34">
        <f>L67</f>
        <v>38.240740740740733</v>
      </c>
      <c r="F68" s="34">
        <f>M67</f>
        <v>35.339506172839506</v>
      </c>
      <c r="G68" s="34">
        <f>N67</f>
        <v>4.2283950617283956</v>
      </c>
      <c r="H68" s="34">
        <f>O67</f>
        <v>0.18518518518518517</v>
      </c>
      <c r="I68" s="73">
        <f t="shared" si="1"/>
        <v>100</v>
      </c>
      <c r="J68" s="111" t="s">
        <v>30</v>
      </c>
      <c r="K68" s="60">
        <f>D67+D65+D63+D61+D59+D57+D55+D53+D51</f>
        <v>9.9027777777777786</v>
      </c>
      <c r="L68" s="60">
        <f>E67+E65+E63+E61+E59+E57+E55+E53+E51</f>
        <v>13.766666666666666</v>
      </c>
      <c r="M68" s="60">
        <f>F67+F65+F63+F61+F59+F57+F55+F53+F51</f>
        <v>9.5416666666666661</v>
      </c>
      <c r="N68" s="60">
        <f>G67+G65+G63+G61+G59+G57+G55+G53+G51</f>
        <v>0.76666666666666661</v>
      </c>
      <c r="O68" s="60">
        <f>H67+H65+H63+H61+H59+H57+H55+H53+H51</f>
        <v>1.6666666666666666E-2</v>
      </c>
      <c r="P68" s="58">
        <f>K68+L68+M68+N68+O68</f>
        <v>33.99444444444444</v>
      </c>
    </row>
    <row r="69" spans="1:16" x14ac:dyDescent="0.35">
      <c r="A69" s="106"/>
      <c r="B69" s="107"/>
      <c r="C69" s="108"/>
      <c r="D69" s="70">
        <f>K69</f>
        <v>1.1003086419753088</v>
      </c>
      <c r="E69" s="70">
        <f>L69</f>
        <v>1.5296296296296295</v>
      </c>
      <c r="F69" s="70">
        <f>M69</f>
        <v>1.0601851851851851</v>
      </c>
      <c r="G69" s="70">
        <f>N69</f>
        <v>8.5185185185185183E-2</v>
      </c>
      <c r="H69" s="70">
        <f>O69</f>
        <v>1.8518518518518519E-3</v>
      </c>
      <c r="I69" s="78">
        <f t="shared" si="1"/>
        <v>3.7771604938271599</v>
      </c>
      <c r="J69" s="112"/>
      <c r="K69" s="61">
        <f>K68/9</f>
        <v>1.1003086419753088</v>
      </c>
      <c r="L69" s="61">
        <f>L68/9</f>
        <v>1.5296296296296295</v>
      </c>
      <c r="M69" s="61">
        <f>M68/9</f>
        <v>1.0601851851851851</v>
      </c>
      <c r="N69" s="61">
        <f>N68/9</f>
        <v>8.5185185185185183E-2</v>
      </c>
      <c r="O69" s="61">
        <f>O68/9</f>
        <v>1.8518518518518519E-3</v>
      </c>
      <c r="P69" s="58">
        <f>SUM(K69:O69)</f>
        <v>3.7771604938271603</v>
      </c>
    </row>
    <row r="70" spans="1:16" x14ac:dyDescent="0.35">
      <c r="A70" s="24"/>
      <c r="B70" s="24"/>
      <c r="C70" s="24"/>
      <c r="D70" s="25"/>
      <c r="E70" s="24"/>
      <c r="F70" s="24"/>
      <c r="G70" s="24"/>
      <c r="H70" s="24"/>
      <c r="I70" s="24"/>
      <c r="J70" s="24"/>
      <c r="K70" s="58"/>
      <c r="L70" s="58"/>
      <c r="M70" s="58"/>
      <c r="N70" s="58"/>
      <c r="O70" s="58"/>
    </row>
    <row r="71" spans="1:16" x14ac:dyDescent="0.35">
      <c r="A71" s="4"/>
      <c r="B71" s="1" t="s">
        <v>120</v>
      </c>
      <c r="C71" s="4"/>
      <c r="D71" s="4"/>
      <c r="E71" s="4"/>
      <c r="F71" s="4"/>
      <c r="G71" s="4"/>
      <c r="H71" s="4"/>
      <c r="I71" s="4"/>
      <c r="J71" s="4"/>
    </row>
    <row r="72" spans="1:16" x14ac:dyDescent="0.35">
      <c r="A72" s="4" t="s">
        <v>110</v>
      </c>
      <c r="B72" s="4"/>
      <c r="C72" s="4"/>
      <c r="D72" s="4"/>
      <c r="E72" s="4"/>
      <c r="F72" s="4"/>
      <c r="G72" s="4"/>
      <c r="H72" s="4"/>
      <c r="I72" s="4"/>
      <c r="J72" s="4"/>
    </row>
    <row r="73" spans="1:16" x14ac:dyDescent="0.35">
      <c r="A73" s="4"/>
      <c r="B73" s="1" t="s">
        <v>111</v>
      </c>
      <c r="C73" s="4"/>
      <c r="D73" s="4"/>
      <c r="E73" s="4"/>
      <c r="F73" s="4"/>
      <c r="G73" s="4"/>
      <c r="H73" s="4"/>
      <c r="I73" s="4"/>
      <c r="J73" s="4"/>
    </row>
    <row r="74" spans="1:16" x14ac:dyDescent="0.35">
      <c r="A74" s="4" t="s">
        <v>115</v>
      </c>
      <c r="B74" s="4"/>
      <c r="C74" s="4"/>
      <c r="D74" s="4"/>
      <c r="E74" s="4"/>
      <c r="F74" s="4"/>
      <c r="G74" s="4"/>
      <c r="H74" s="4"/>
      <c r="I74" s="4"/>
      <c r="J74" s="4"/>
      <c r="O74" t="s">
        <v>106</v>
      </c>
    </row>
    <row r="75" spans="1:16" x14ac:dyDescent="0.35">
      <c r="A75" s="4" t="s">
        <v>146</v>
      </c>
      <c r="B75" s="4"/>
      <c r="C75" s="4"/>
      <c r="D75" s="4"/>
      <c r="E75" s="4"/>
      <c r="F75" s="4"/>
      <c r="G75" s="4"/>
      <c r="H75" s="4"/>
      <c r="I75" s="4"/>
      <c r="J75" s="4"/>
    </row>
    <row r="76" spans="1:16" x14ac:dyDescent="0.35">
      <c r="A76" s="4" t="s">
        <v>147</v>
      </c>
      <c r="B76" s="4"/>
      <c r="C76" s="4"/>
      <c r="D76" s="4"/>
      <c r="E76" s="4"/>
      <c r="F76" s="4"/>
      <c r="G76" s="4"/>
      <c r="H76" s="4"/>
      <c r="I76" s="4"/>
      <c r="J76" s="4"/>
    </row>
    <row r="77" spans="1:16" x14ac:dyDescent="0.35">
      <c r="A77" s="4" t="s">
        <v>148</v>
      </c>
      <c r="B77" s="4"/>
      <c r="C77" s="4"/>
      <c r="D77" s="4"/>
      <c r="E77" s="4"/>
      <c r="F77" s="4"/>
      <c r="G77" s="4"/>
      <c r="H77" s="4"/>
      <c r="I77" s="4"/>
      <c r="J77" s="4"/>
    </row>
    <row r="78" spans="1:16" x14ac:dyDescent="0.35">
      <c r="A78" s="4" t="s">
        <v>112</v>
      </c>
      <c r="B78" s="4"/>
      <c r="C78" s="4"/>
      <c r="D78" s="4"/>
      <c r="E78" s="4"/>
      <c r="F78" s="4"/>
      <c r="G78" s="4"/>
      <c r="H78" s="4"/>
      <c r="I78" s="4"/>
      <c r="J78" s="4"/>
    </row>
    <row r="79" spans="1:16" x14ac:dyDescent="0.35">
      <c r="A79" s="4"/>
      <c r="B79" s="4" t="s">
        <v>145</v>
      </c>
      <c r="C79" s="4"/>
      <c r="D79" s="4"/>
      <c r="E79" s="4"/>
      <c r="F79" s="4"/>
      <c r="G79" s="4"/>
      <c r="H79" s="4"/>
      <c r="I79" s="4"/>
      <c r="J79" s="4"/>
    </row>
    <row r="80" spans="1:16" x14ac:dyDescent="0.35">
      <c r="A80" s="4" t="s">
        <v>144</v>
      </c>
      <c r="B80" s="4"/>
      <c r="C80" s="4"/>
      <c r="D80" s="4"/>
      <c r="E80" s="4"/>
      <c r="F80" s="4"/>
      <c r="G80" s="4"/>
      <c r="H80" s="4"/>
      <c r="I80" s="4"/>
      <c r="J80" s="4"/>
    </row>
    <row r="81" spans="1:10" x14ac:dyDescent="0.35">
      <c r="A81" s="4"/>
      <c r="B81" s="4"/>
      <c r="C81" s="4"/>
      <c r="D81" s="4"/>
      <c r="E81" s="4"/>
      <c r="F81" s="4"/>
      <c r="G81" s="4" t="s">
        <v>53</v>
      </c>
      <c r="H81" s="4"/>
      <c r="I81" s="4"/>
      <c r="J81" s="4"/>
    </row>
    <row r="83" spans="1:10" x14ac:dyDescent="0.35">
      <c r="J83" s="1">
        <v>104</v>
      </c>
    </row>
    <row r="84" spans="1:10" x14ac:dyDescent="0.35">
      <c r="A84" s="46" t="s">
        <v>61</v>
      </c>
      <c r="B84" s="3"/>
    </row>
    <row r="85" spans="1:10" x14ac:dyDescent="0.35">
      <c r="A85" s="1"/>
      <c r="B85" s="1" t="s">
        <v>62</v>
      </c>
    </row>
    <row r="86" spans="1:10" x14ac:dyDescent="0.35">
      <c r="A86" s="1" t="s">
        <v>65</v>
      </c>
      <c r="B86" s="3"/>
    </row>
    <row r="87" spans="1:10" x14ac:dyDescent="0.35">
      <c r="A87" s="1"/>
    </row>
    <row r="88" spans="1:10" x14ac:dyDescent="0.35">
      <c r="A88" s="95" t="s">
        <v>25</v>
      </c>
      <c r="B88" s="96"/>
      <c r="C88" s="97"/>
      <c r="D88" s="26" t="s">
        <v>4</v>
      </c>
      <c r="E88" s="26" t="s">
        <v>4</v>
      </c>
      <c r="F88" s="26" t="s">
        <v>4</v>
      </c>
      <c r="G88" s="26" t="s">
        <v>4</v>
      </c>
      <c r="H88" s="26" t="s">
        <v>4</v>
      </c>
      <c r="I88" s="101" t="s">
        <v>28</v>
      </c>
      <c r="J88" s="26" t="s">
        <v>26</v>
      </c>
    </row>
    <row r="89" spans="1:10" x14ac:dyDescent="0.35">
      <c r="A89" s="98"/>
      <c r="B89" s="99"/>
      <c r="C89" s="100"/>
      <c r="D89" s="27" t="s">
        <v>29</v>
      </c>
      <c r="E89" s="27" t="s">
        <v>30</v>
      </c>
      <c r="F89" s="27" t="s">
        <v>31</v>
      </c>
      <c r="G89" s="27" t="s">
        <v>32</v>
      </c>
      <c r="H89" s="27" t="s">
        <v>33</v>
      </c>
      <c r="I89" s="102"/>
      <c r="J89" s="28" t="s">
        <v>27</v>
      </c>
    </row>
    <row r="90" spans="1:10" x14ac:dyDescent="0.35">
      <c r="A90" s="35" t="s">
        <v>34</v>
      </c>
      <c r="B90" s="36"/>
      <c r="C90" s="37"/>
      <c r="D90" s="29">
        <f>65*100/360</f>
        <v>18.055555555555557</v>
      </c>
      <c r="E90" s="29">
        <f>147*100/360</f>
        <v>40.833333333333336</v>
      </c>
      <c r="F90" s="29">
        <f>132*100/360</f>
        <v>36.666666666666664</v>
      </c>
      <c r="G90" s="29">
        <f>16*100/360</f>
        <v>4.4444444444444446</v>
      </c>
      <c r="H90" s="29">
        <v>0</v>
      </c>
      <c r="I90" s="30">
        <f t="shared" ref="I90:I109" si="2">H90+G90+F90+E90+D90</f>
        <v>100</v>
      </c>
      <c r="J90" s="109" t="s">
        <v>30</v>
      </c>
    </row>
    <row r="91" spans="1:10" x14ac:dyDescent="0.35">
      <c r="A91" s="38" t="s">
        <v>35</v>
      </c>
      <c r="B91" s="39"/>
      <c r="C91" s="40"/>
      <c r="D91" s="31">
        <f>5*65/360</f>
        <v>0.90277777777777779</v>
      </c>
      <c r="E91" s="31">
        <f>147*4/360</f>
        <v>1.6333333333333333</v>
      </c>
      <c r="F91" s="31">
        <f>132*3/360</f>
        <v>1.1000000000000001</v>
      </c>
      <c r="G91" s="31">
        <f>16*2/360</f>
        <v>8.8888888888888892E-2</v>
      </c>
      <c r="H91" s="31">
        <v>0</v>
      </c>
      <c r="I91" s="71">
        <f t="shared" si="2"/>
        <v>3.7249999999999996</v>
      </c>
      <c r="J91" s="110"/>
    </row>
    <row r="92" spans="1:10" x14ac:dyDescent="0.35">
      <c r="A92" s="41" t="s">
        <v>36</v>
      </c>
      <c r="B92" s="42"/>
      <c r="C92" s="43"/>
      <c r="D92" s="32">
        <f>61*100/360</f>
        <v>16.944444444444443</v>
      </c>
      <c r="E92" s="32">
        <f>150*100/360</f>
        <v>41.666666666666664</v>
      </c>
      <c r="F92" s="32">
        <f>132*100/360</f>
        <v>36.666666666666664</v>
      </c>
      <c r="G92" s="32">
        <f>17*100/360</f>
        <v>4.7222222222222223</v>
      </c>
      <c r="H92" s="32">
        <v>0</v>
      </c>
      <c r="I92" s="33">
        <f t="shared" si="2"/>
        <v>99.999999999999986</v>
      </c>
      <c r="J92" s="109" t="s">
        <v>30</v>
      </c>
    </row>
    <row r="93" spans="1:10" x14ac:dyDescent="0.35">
      <c r="A93" s="38" t="s">
        <v>37</v>
      </c>
      <c r="B93" s="39"/>
      <c r="C93" s="40"/>
      <c r="D93" s="31">
        <f>61*5/360</f>
        <v>0.84722222222222221</v>
      </c>
      <c r="E93" s="31">
        <f>150*4/360</f>
        <v>1.6666666666666667</v>
      </c>
      <c r="F93" s="31">
        <f>3*132/360</f>
        <v>1.1000000000000001</v>
      </c>
      <c r="G93" s="31">
        <f>17*2/360</f>
        <v>9.4444444444444442E-2</v>
      </c>
      <c r="H93" s="31">
        <v>0</v>
      </c>
      <c r="I93" s="80">
        <f t="shared" si="2"/>
        <v>3.7083333333333339</v>
      </c>
      <c r="J93" s="110"/>
    </row>
    <row r="94" spans="1:10" x14ac:dyDescent="0.35">
      <c r="A94" s="41" t="s">
        <v>38</v>
      </c>
      <c r="B94" s="42"/>
      <c r="C94" s="43"/>
      <c r="D94" s="32">
        <f>61*100/360</f>
        <v>16.944444444444443</v>
      </c>
      <c r="E94" s="32">
        <f>144*100/360</f>
        <v>40</v>
      </c>
      <c r="F94" s="32">
        <f>135*100/360</f>
        <v>37.5</v>
      </c>
      <c r="G94" s="32">
        <f>20*100/360</f>
        <v>5.5555555555555554</v>
      </c>
      <c r="H94" s="32">
        <v>0</v>
      </c>
      <c r="I94" s="33">
        <f t="shared" si="2"/>
        <v>100</v>
      </c>
      <c r="J94" s="109" t="s">
        <v>30</v>
      </c>
    </row>
    <row r="95" spans="1:10" x14ac:dyDescent="0.35">
      <c r="A95" s="38" t="s">
        <v>39</v>
      </c>
      <c r="B95" s="39"/>
      <c r="C95" s="40"/>
      <c r="D95" s="31">
        <f>61*5/360</f>
        <v>0.84722222222222221</v>
      </c>
      <c r="E95" s="31">
        <f>144*4/360</f>
        <v>1.6</v>
      </c>
      <c r="F95" s="31">
        <f>135*3/360</f>
        <v>1.125</v>
      </c>
      <c r="G95" s="31">
        <f>20*2/360</f>
        <v>0.1111111111111111</v>
      </c>
      <c r="H95" s="31">
        <v>0</v>
      </c>
      <c r="I95" s="31">
        <f t="shared" si="2"/>
        <v>3.6833333333333336</v>
      </c>
      <c r="J95" s="110"/>
    </row>
    <row r="96" spans="1:10" x14ac:dyDescent="0.35">
      <c r="A96" s="41" t="s">
        <v>40</v>
      </c>
      <c r="B96" s="42"/>
      <c r="C96" s="43"/>
      <c r="D96" s="32">
        <f>59*100/360</f>
        <v>16.388888888888889</v>
      </c>
      <c r="E96" s="32">
        <f>158*100/360</f>
        <v>43.888888888888886</v>
      </c>
      <c r="F96" s="32">
        <f>128*100/360</f>
        <v>35.555555555555557</v>
      </c>
      <c r="G96" s="32">
        <f>15*100/360</f>
        <v>4.166666666666667</v>
      </c>
      <c r="H96" s="32">
        <v>0</v>
      </c>
      <c r="I96" s="33">
        <f t="shared" si="2"/>
        <v>100</v>
      </c>
      <c r="J96" s="109" t="s">
        <v>30</v>
      </c>
    </row>
    <row r="97" spans="1:16" x14ac:dyDescent="0.35">
      <c r="A97" s="38" t="s">
        <v>41</v>
      </c>
      <c r="B97" s="39"/>
      <c r="C97" s="40"/>
      <c r="D97" s="31">
        <f>59*5/360</f>
        <v>0.81944444444444442</v>
      </c>
      <c r="E97" s="31">
        <f>158*4/360</f>
        <v>1.7555555555555555</v>
      </c>
      <c r="F97" s="31">
        <f>128*3/360</f>
        <v>1.0666666666666667</v>
      </c>
      <c r="G97" s="31">
        <f>15*2/360</f>
        <v>8.3333333333333329E-2</v>
      </c>
      <c r="H97" s="31">
        <v>0</v>
      </c>
      <c r="I97" s="71">
        <f t="shared" si="2"/>
        <v>3.7249999999999996</v>
      </c>
      <c r="J97" s="110"/>
    </row>
    <row r="98" spans="1:16" x14ac:dyDescent="0.35">
      <c r="A98" s="41" t="s">
        <v>42</v>
      </c>
      <c r="B98" s="42"/>
      <c r="C98" s="43"/>
      <c r="D98" s="32">
        <f>68*100/360</f>
        <v>18.888888888888889</v>
      </c>
      <c r="E98" s="32">
        <f>158*100/360</f>
        <v>43.888888888888886</v>
      </c>
      <c r="F98" s="32">
        <f>121*100/360</f>
        <v>33.611111111111114</v>
      </c>
      <c r="G98" s="32">
        <f>12*100/360</f>
        <v>3.3333333333333335</v>
      </c>
      <c r="H98" s="32">
        <f>1*100/360</f>
        <v>0.27777777777777779</v>
      </c>
      <c r="I98" s="33">
        <f t="shared" si="2"/>
        <v>100</v>
      </c>
      <c r="J98" s="109" t="s">
        <v>30</v>
      </c>
    </row>
    <row r="99" spans="1:16" x14ac:dyDescent="0.35">
      <c r="A99" s="38" t="s">
        <v>43</v>
      </c>
      <c r="B99" s="39"/>
      <c r="C99" s="40"/>
      <c r="D99" s="31">
        <f>68*5/360</f>
        <v>0.94444444444444442</v>
      </c>
      <c r="E99" s="31">
        <f>4*158/360</f>
        <v>1.7555555555555555</v>
      </c>
      <c r="F99" s="31">
        <f>121*3/360</f>
        <v>1.0083333333333333</v>
      </c>
      <c r="G99" s="31">
        <f>12*2/360</f>
        <v>6.6666666666666666E-2</v>
      </c>
      <c r="H99" s="31">
        <f>1*1/360</f>
        <v>2.7777777777777779E-3</v>
      </c>
      <c r="I99" s="31">
        <f t="shared" si="2"/>
        <v>3.7777777777777777</v>
      </c>
      <c r="J99" s="110"/>
    </row>
    <row r="100" spans="1:16" x14ac:dyDescent="0.35">
      <c r="A100" s="41" t="s">
        <v>44</v>
      </c>
      <c r="B100" s="42"/>
      <c r="C100" s="43"/>
      <c r="D100" s="32">
        <f>68*100/360</f>
        <v>18.888888888888889</v>
      </c>
      <c r="E100" s="32">
        <f>158*100/360</f>
        <v>43.888888888888886</v>
      </c>
      <c r="F100" s="32">
        <f>121*100/360</f>
        <v>33.611111111111114</v>
      </c>
      <c r="G100" s="32">
        <f>13*100/360</f>
        <v>3.6111111111111112</v>
      </c>
      <c r="H100" s="32">
        <v>0</v>
      </c>
      <c r="I100" s="33">
        <f t="shared" si="2"/>
        <v>100</v>
      </c>
      <c r="J100" s="109" t="s">
        <v>30</v>
      </c>
    </row>
    <row r="101" spans="1:16" x14ac:dyDescent="0.35">
      <c r="A101" s="38" t="s">
        <v>45</v>
      </c>
      <c r="B101" s="39"/>
      <c r="C101" s="40"/>
      <c r="D101" s="31">
        <f>68*5/360</f>
        <v>0.94444444444444442</v>
      </c>
      <c r="E101" s="31">
        <f>4*158/360</f>
        <v>1.7555555555555555</v>
      </c>
      <c r="F101" s="31">
        <f>3*129/360</f>
        <v>1.075</v>
      </c>
      <c r="G101" s="31">
        <f>13*2/360</f>
        <v>7.2222222222222215E-2</v>
      </c>
      <c r="H101" s="31">
        <v>0</v>
      </c>
      <c r="I101" s="86">
        <f t="shared" si="2"/>
        <v>3.8472222222222223</v>
      </c>
      <c r="J101" s="110"/>
    </row>
    <row r="102" spans="1:16" x14ac:dyDescent="0.35">
      <c r="A102" s="41" t="s">
        <v>46</v>
      </c>
      <c r="B102" s="42"/>
      <c r="C102" s="43"/>
      <c r="D102" s="32">
        <f>79*100/360</f>
        <v>21.944444444444443</v>
      </c>
      <c r="E102" s="32">
        <f>145*100/360</f>
        <v>40.277777777777779</v>
      </c>
      <c r="F102" s="32">
        <f>126*100/360</f>
        <v>35</v>
      </c>
      <c r="G102" s="32">
        <f>10*100/360</f>
        <v>2.7777777777777777</v>
      </c>
      <c r="H102" s="32">
        <v>0</v>
      </c>
      <c r="I102" s="33">
        <f t="shared" si="2"/>
        <v>100</v>
      </c>
      <c r="J102" s="109" t="s">
        <v>30</v>
      </c>
    </row>
    <row r="103" spans="1:16" x14ac:dyDescent="0.35">
      <c r="A103" s="38" t="s">
        <v>47</v>
      </c>
      <c r="B103" s="39"/>
      <c r="C103" s="40"/>
      <c r="D103" s="31">
        <f>5*79/360</f>
        <v>1.0972222222222223</v>
      </c>
      <c r="E103" s="31">
        <f>145*4/360</f>
        <v>1.6111111111111112</v>
      </c>
      <c r="F103" s="31">
        <f>126*3/360</f>
        <v>1.05</v>
      </c>
      <c r="G103" s="31">
        <f>10*2/360</f>
        <v>5.5555555555555552E-2</v>
      </c>
      <c r="H103" s="31">
        <v>0</v>
      </c>
      <c r="I103" s="87">
        <f t="shared" si="2"/>
        <v>3.8138888888888891</v>
      </c>
      <c r="J103" s="110"/>
    </row>
    <row r="104" spans="1:16" x14ac:dyDescent="0.35">
      <c r="A104" s="41" t="s">
        <v>48</v>
      </c>
      <c r="B104" s="42"/>
      <c r="C104" s="43"/>
      <c r="D104" s="32">
        <f>79*100/360</f>
        <v>21.944444444444443</v>
      </c>
      <c r="E104" s="32">
        <f>144*100/360</f>
        <v>40</v>
      </c>
      <c r="F104" s="32">
        <f>120*100/360</f>
        <v>33.333333333333336</v>
      </c>
      <c r="G104" s="32">
        <f>17*100/360</f>
        <v>4.7222222222222223</v>
      </c>
      <c r="H104" s="32">
        <v>0</v>
      </c>
      <c r="I104" s="33">
        <f t="shared" si="2"/>
        <v>100</v>
      </c>
      <c r="J104" s="109" t="s">
        <v>30</v>
      </c>
    </row>
    <row r="105" spans="1:16" x14ac:dyDescent="0.35">
      <c r="A105" s="38" t="s">
        <v>49</v>
      </c>
      <c r="B105" s="39"/>
      <c r="C105" s="40"/>
      <c r="D105" s="31">
        <f>79*5/360</f>
        <v>1.0972222222222223</v>
      </c>
      <c r="E105" s="31">
        <f>144*4/360</f>
        <v>1.6</v>
      </c>
      <c r="F105" s="31">
        <f>120*3/360</f>
        <v>1</v>
      </c>
      <c r="G105" s="31">
        <f>17*2/360</f>
        <v>9.4444444444444442E-2</v>
      </c>
      <c r="H105" s="31">
        <v>0</v>
      </c>
      <c r="I105" s="31">
        <f t="shared" si="2"/>
        <v>3.791666666666667</v>
      </c>
      <c r="J105" s="110"/>
      <c r="K105" s="58"/>
      <c r="L105" s="58"/>
      <c r="M105" s="58"/>
    </row>
    <row r="106" spans="1:16" x14ac:dyDescent="0.35">
      <c r="A106" s="41" t="s">
        <v>50</v>
      </c>
      <c r="B106" s="42"/>
      <c r="C106" s="43"/>
      <c r="D106" s="32">
        <f>80*100/360</f>
        <v>22.222222222222221</v>
      </c>
      <c r="E106" s="32">
        <f>142*100/360</f>
        <v>39.444444444444443</v>
      </c>
      <c r="F106" s="32">
        <f>123*100/360</f>
        <v>34.166666666666664</v>
      </c>
      <c r="G106" s="32">
        <f>14*100/360</f>
        <v>3.8888888888888888</v>
      </c>
      <c r="H106" s="32">
        <f>1*100/360</f>
        <v>0.27777777777777779</v>
      </c>
      <c r="I106" s="33">
        <f t="shared" si="2"/>
        <v>100</v>
      </c>
      <c r="J106" s="109" t="s">
        <v>30</v>
      </c>
      <c r="K106" s="57">
        <f>D106+D104+D102+D100+D98+D96+D94+D92+D90</f>
        <v>172.22222222222223</v>
      </c>
      <c r="L106" s="57">
        <f>E106+E104+E102+E100+E98+E96+E94+E92+E90</f>
        <v>373.88888888888891</v>
      </c>
      <c r="M106" s="57">
        <f>F106+F104+F102+F100+F98+F96+F94+F92+F90</f>
        <v>316.11111111111114</v>
      </c>
      <c r="N106" s="57">
        <f>G106+G104+G102+G100+G98+G96+G94+G92+G90</f>
        <v>37.222222222222221</v>
      </c>
      <c r="O106" s="57">
        <f>H106+H104+H102+H100+H98+H96+H94+H92+H90</f>
        <v>0.55555555555555558</v>
      </c>
      <c r="P106" s="58">
        <f>SUM(K106:O106)</f>
        <v>899.99999999999989</v>
      </c>
    </row>
    <row r="107" spans="1:16" x14ac:dyDescent="0.35">
      <c r="A107" s="38" t="s">
        <v>51</v>
      </c>
      <c r="B107" s="39"/>
      <c r="C107" s="40"/>
      <c r="D107" s="31">
        <f>80*5/360</f>
        <v>1.1111111111111112</v>
      </c>
      <c r="E107" s="31">
        <f>142*4/360</f>
        <v>1.5777777777777777</v>
      </c>
      <c r="F107" s="31">
        <f>123*3/360</f>
        <v>1.0249999999999999</v>
      </c>
      <c r="G107" s="31">
        <f>14*2/360</f>
        <v>7.7777777777777779E-2</v>
      </c>
      <c r="H107" s="31">
        <f>1*1/360</f>
        <v>2.7777777777777779E-3</v>
      </c>
      <c r="I107" s="71">
        <f t="shared" si="2"/>
        <v>3.7944444444444443</v>
      </c>
      <c r="J107" s="110"/>
      <c r="K107" s="59">
        <f>K106/9</f>
        <v>19.135802469135804</v>
      </c>
      <c r="L107" s="59">
        <f>L106/9</f>
        <v>41.543209876543216</v>
      </c>
      <c r="M107" s="59">
        <f>M106/9</f>
        <v>35.123456790123463</v>
      </c>
      <c r="N107" s="59">
        <f>N106/9</f>
        <v>4.1358024691358022</v>
      </c>
      <c r="O107" s="59">
        <f>O106/9</f>
        <v>6.1728395061728399E-2</v>
      </c>
      <c r="P107" s="58">
        <f>SUM(K107:O107)</f>
        <v>100.00000000000001</v>
      </c>
    </row>
    <row r="108" spans="1:16" x14ac:dyDescent="0.35">
      <c r="A108" s="103" t="s">
        <v>52</v>
      </c>
      <c r="B108" s="104"/>
      <c r="C108" s="105"/>
      <c r="D108" s="34">
        <f>K107</f>
        <v>19.135802469135804</v>
      </c>
      <c r="E108" s="34">
        <f>L107</f>
        <v>41.543209876543216</v>
      </c>
      <c r="F108" s="34">
        <f>M107</f>
        <v>35.123456790123463</v>
      </c>
      <c r="G108" s="34">
        <f>N107</f>
        <v>4.1358024691358022</v>
      </c>
      <c r="H108" s="34">
        <f>O107</f>
        <v>6.1728395061728399E-2</v>
      </c>
      <c r="I108" s="73">
        <f t="shared" si="2"/>
        <v>100</v>
      </c>
      <c r="J108" s="111" t="s">
        <v>30</v>
      </c>
      <c r="K108" s="60">
        <f>D107+D105+D103+D101+D99+D97+D95+D93+D91</f>
        <v>8.6111111111111125</v>
      </c>
      <c r="L108" s="60">
        <f>E107+E105+E103+E101+E99+E97+E95+E93+E91</f>
        <v>14.955555555555556</v>
      </c>
      <c r="M108" s="60">
        <f>F107+F105+F103+F101+F99+F97+F95+F93+F91</f>
        <v>9.5499999999999989</v>
      </c>
      <c r="N108" s="60">
        <f>G107+G105+G103+G101+G99+G97+G95+G93+G91</f>
        <v>0.74444444444444446</v>
      </c>
      <c r="O108" s="60">
        <f>H107+H105+H103+H101+H99+H97+H95+H93+H91</f>
        <v>5.5555555555555558E-3</v>
      </c>
      <c r="P108" s="58">
        <f>K108+L108+M108+N108+O108</f>
        <v>33.866666666666667</v>
      </c>
    </row>
    <row r="109" spans="1:16" x14ac:dyDescent="0.35">
      <c r="A109" s="106"/>
      <c r="B109" s="107"/>
      <c r="C109" s="108"/>
      <c r="D109" s="70">
        <f>K109</f>
        <v>0.95679012345679026</v>
      </c>
      <c r="E109" s="70">
        <f>L109</f>
        <v>1.6617283950617283</v>
      </c>
      <c r="F109" s="70">
        <f>M109</f>
        <v>1.0611111111111109</v>
      </c>
      <c r="G109" s="70">
        <f>N109</f>
        <v>8.2716049382716053E-2</v>
      </c>
      <c r="H109" s="70">
        <f>O109</f>
        <v>6.1728395061728394E-4</v>
      </c>
      <c r="I109" s="78">
        <f t="shared" si="2"/>
        <v>3.7629629629629626</v>
      </c>
      <c r="J109" s="112"/>
      <c r="K109" s="61">
        <f>K108/9</f>
        <v>0.95679012345679026</v>
      </c>
      <c r="L109" s="61">
        <f>L108/9</f>
        <v>1.6617283950617283</v>
      </c>
      <c r="M109" s="61">
        <f>M108/9</f>
        <v>1.0611111111111109</v>
      </c>
      <c r="N109" s="61">
        <f>N108/9</f>
        <v>8.2716049382716053E-2</v>
      </c>
      <c r="O109" s="61">
        <f>O108/9</f>
        <v>6.1728395061728394E-4</v>
      </c>
      <c r="P109" s="58">
        <f>SUM(K109:O109)</f>
        <v>3.7629629629629631</v>
      </c>
    </row>
    <row r="110" spans="1:16" x14ac:dyDescent="0.35">
      <c r="A110" s="24"/>
      <c r="B110" s="24"/>
      <c r="C110" s="24"/>
      <c r="D110" s="25"/>
      <c r="E110" s="24"/>
      <c r="F110" s="24"/>
      <c r="G110" s="24"/>
      <c r="H110" s="24"/>
      <c r="I110" s="24"/>
      <c r="J110" s="24"/>
    </row>
    <row r="111" spans="1:16" x14ac:dyDescent="0.35">
      <c r="A111" s="4"/>
      <c r="B111" s="1" t="s">
        <v>121</v>
      </c>
      <c r="C111" s="4"/>
      <c r="D111" s="4"/>
      <c r="E111" s="4"/>
      <c r="F111" s="4"/>
      <c r="G111" s="4"/>
      <c r="H111" s="4"/>
      <c r="I111" s="4"/>
      <c r="J111" s="4"/>
    </row>
    <row r="112" spans="1:16" x14ac:dyDescent="0.35">
      <c r="A112" s="4" t="s">
        <v>110</v>
      </c>
      <c r="B112" s="4"/>
      <c r="C112" s="4"/>
      <c r="D112" s="4"/>
      <c r="E112" s="4"/>
      <c r="F112" s="4"/>
      <c r="G112" s="4"/>
      <c r="H112" s="4"/>
      <c r="I112" s="4"/>
      <c r="J112" s="4"/>
    </row>
    <row r="113" spans="1:10" x14ac:dyDescent="0.35">
      <c r="A113" s="4"/>
      <c r="B113" s="1" t="s">
        <v>113</v>
      </c>
      <c r="C113" s="4"/>
      <c r="D113" s="4"/>
      <c r="E113" s="4"/>
      <c r="F113" s="4"/>
      <c r="G113" s="4"/>
      <c r="H113" s="4"/>
      <c r="I113" s="4"/>
      <c r="J113" s="4"/>
    </row>
    <row r="114" spans="1:10" x14ac:dyDescent="0.35">
      <c r="A114" s="4" t="s">
        <v>116</v>
      </c>
      <c r="B114" s="4"/>
      <c r="C114" s="4"/>
      <c r="D114" s="4"/>
      <c r="E114" s="4"/>
      <c r="F114" s="4"/>
      <c r="G114" s="4"/>
      <c r="H114" s="4"/>
      <c r="I114" s="4"/>
      <c r="J114" s="4"/>
    </row>
    <row r="115" spans="1:10" x14ac:dyDescent="0.35">
      <c r="A115" s="4" t="s">
        <v>149</v>
      </c>
      <c r="B115" s="4"/>
      <c r="C115" s="4"/>
      <c r="D115" s="4"/>
      <c r="E115" s="4"/>
      <c r="F115" s="4"/>
      <c r="G115" s="4"/>
      <c r="H115" s="4"/>
      <c r="I115" s="4"/>
      <c r="J115" s="4"/>
    </row>
    <row r="116" spans="1:10" x14ac:dyDescent="0.35">
      <c r="A116" s="4" t="s">
        <v>150</v>
      </c>
      <c r="B116" s="4"/>
      <c r="C116" s="4"/>
      <c r="D116" s="4"/>
      <c r="E116" s="4"/>
      <c r="F116" s="4"/>
      <c r="G116" s="4"/>
      <c r="H116" s="4"/>
      <c r="I116" s="4"/>
      <c r="J116" s="4"/>
    </row>
    <row r="117" spans="1:10" x14ac:dyDescent="0.35">
      <c r="A117" s="4" t="s">
        <v>151</v>
      </c>
      <c r="B117" s="4"/>
      <c r="C117" s="4"/>
      <c r="D117" s="4"/>
      <c r="E117" s="4"/>
      <c r="F117" s="4"/>
      <c r="G117" s="4"/>
      <c r="H117" s="4"/>
      <c r="I117" s="4"/>
      <c r="J117" s="4"/>
    </row>
    <row r="118" spans="1:10" x14ac:dyDescent="0.35">
      <c r="A118" s="4" t="s">
        <v>152</v>
      </c>
      <c r="B118" s="4"/>
      <c r="C118" s="4"/>
      <c r="D118" s="4"/>
      <c r="E118" s="4"/>
      <c r="F118" s="4"/>
      <c r="G118" s="4"/>
      <c r="H118" s="4"/>
      <c r="I118" s="4"/>
      <c r="J118" s="4"/>
    </row>
    <row r="119" spans="1:10" x14ac:dyDescent="0.35">
      <c r="A119" s="4"/>
      <c r="B119" s="4" t="s">
        <v>153</v>
      </c>
      <c r="C119" s="4"/>
      <c r="D119" s="4"/>
      <c r="E119" s="4"/>
      <c r="F119" s="4"/>
      <c r="G119" s="4"/>
      <c r="H119" s="4"/>
      <c r="I119" s="4"/>
      <c r="J119" s="4"/>
    </row>
    <row r="120" spans="1:10" x14ac:dyDescent="0.35">
      <c r="A120" s="4" t="s">
        <v>154</v>
      </c>
      <c r="B120" s="4"/>
      <c r="C120" s="4"/>
      <c r="D120" s="4"/>
      <c r="E120" s="4"/>
      <c r="F120" s="4"/>
      <c r="G120" s="4"/>
      <c r="H120" s="4"/>
      <c r="I120" s="4"/>
      <c r="J120" s="4"/>
    </row>
    <row r="121" spans="1:10" x14ac:dyDescent="0.35">
      <c r="A121" s="4"/>
      <c r="B121" s="4"/>
      <c r="C121" s="4"/>
      <c r="D121" s="4"/>
      <c r="E121" s="4"/>
      <c r="F121" s="4"/>
      <c r="G121" s="4" t="s">
        <v>53</v>
      </c>
      <c r="H121" s="4"/>
      <c r="I121" s="4"/>
      <c r="J121" s="4"/>
    </row>
    <row r="123" spans="1:10" x14ac:dyDescent="0.35">
      <c r="J123" s="1">
        <v>105</v>
      </c>
    </row>
    <row r="124" spans="1:10" x14ac:dyDescent="0.35">
      <c r="A124" s="46" t="s">
        <v>66</v>
      </c>
      <c r="B124" s="3"/>
    </row>
    <row r="125" spans="1:10" x14ac:dyDescent="0.35">
      <c r="A125" s="1"/>
      <c r="B125" s="1" t="s">
        <v>67</v>
      </c>
    </row>
    <row r="126" spans="1:10" x14ac:dyDescent="0.35">
      <c r="A126" s="1" t="s">
        <v>68</v>
      </c>
      <c r="B126" s="3"/>
    </row>
    <row r="127" spans="1:10" x14ac:dyDescent="0.35">
      <c r="A127" s="1"/>
    </row>
    <row r="128" spans="1:10" x14ac:dyDescent="0.35">
      <c r="A128" s="95" t="s">
        <v>25</v>
      </c>
      <c r="B128" s="96"/>
      <c r="C128" s="97"/>
      <c r="D128" s="26" t="s">
        <v>4</v>
      </c>
      <c r="E128" s="26" t="s">
        <v>4</v>
      </c>
      <c r="F128" s="26" t="s">
        <v>4</v>
      </c>
      <c r="G128" s="26" t="s">
        <v>4</v>
      </c>
      <c r="H128" s="26" t="s">
        <v>4</v>
      </c>
      <c r="I128" s="101" t="s">
        <v>28</v>
      </c>
      <c r="J128" s="26" t="s">
        <v>26</v>
      </c>
    </row>
    <row r="129" spans="1:11" x14ac:dyDescent="0.35">
      <c r="A129" s="98"/>
      <c r="B129" s="99"/>
      <c r="C129" s="100"/>
      <c r="D129" s="27" t="s">
        <v>29</v>
      </c>
      <c r="E129" s="27" t="s">
        <v>30</v>
      </c>
      <c r="F129" s="27" t="s">
        <v>31</v>
      </c>
      <c r="G129" s="27" t="s">
        <v>32</v>
      </c>
      <c r="H129" s="27" t="s">
        <v>33</v>
      </c>
      <c r="I129" s="102"/>
      <c r="J129" s="28" t="s">
        <v>27</v>
      </c>
    </row>
    <row r="130" spans="1:11" x14ac:dyDescent="0.35">
      <c r="A130" s="35" t="s">
        <v>34</v>
      </c>
      <c r="B130" s="36"/>
      <c r="C130" s="37"/>
      <c r="D130" s="29">
        <f>77*100/360</f>
        <v>21.388888888888889</v>
      </c>
      <c r="E130" s="29">
        <f>135*100/360</f>
        <v>37.5</v>
      </c>
      <c r="F130" s="29">
        <f>133*100/360</f>
        <v>36.944444444444443</v>
      </c>
      <c r="G130" s="29">
        <f>15*100/360</f>
        <v>4.166666666666667</v>
      </c>
      <c r="H130" s="29">
        <v>0</v>
      </c>
      <c r="I130" s="30">
        <f t="shared" ref="I130:I149" si="3">H130+G130+F130+E130+D130</f>
        <v>100</v>
      </c>
      <c r="J130" s="109" t="s">
        <v>30</v>
      </c>
    </row>
    <row r="131" spans="1:11" x14ac:dyDescent="0.35">
      <c r="A131" s="38" t="s">
        <v>35</v>
      </c>
      <c r="B131" s="39"/>
      <c r="C131" s="40"/>
      <c r="D131" s="31">
        <f>77*5/360</f>
        <v>1.0694444444444444</v>
      </c>
      <c r="E131" s="31">
        <f>135*4/360</f>
        <v>1.5</v>
      </c>
      <c r="F131" s="31">
        <f>133*3/360</f>
        <v>1.1083333333333334</v>
      </c>
      <c r="G131" s="31">
        <f>15*2/360</f>
        <v>8.3333333333333329E-2</v>
      </c>
      <c r="H131" s="31">
        <v>0</v>
      </c>
      <c r="I131" s="71">
        <f t="shared" si="3"/>
        <v>3.7611111111111111</v>
      </c>
      <c r="J131" s="110"/>
    </row>
    <row r="132" spans="1:11" x14ac:dyDescent="0.35">
      <c r="A132" s="41" t="s">
        <v>36</v>
      </c>
      <c r="B132" s="42"/>
      <c r="C132" s="43"/>
      <c r="D132" s="32">
        <f>77*100/360</f>
        <v>21.388888888888889</v>
      </c>
      <c r="E132" s="32">
        <f>138*100/360</f>
        <v>38.333333333333336</v>
      </c>
      <c r="F132" s="32">
        <f>131*100/360</f>
        <v>36.388888888888886</v>
      </c>
      <c r="G132" s="32">
        <f>14*100/360</f>
        <v>3.8888888888888888</v>
      </c>
      <c r="H132" s="32">
        <v>0</v>
      </c>
      <c r="I132" s="33">
        <f t="shared" si="3"/>
        <v>100</v>
      </c>
      <c r="J132" s="109" t="s">
        <v>30</v>
      </c>
    </row>
    <row r="133" spans="1:11" x14ac:dyDescent="0.35">
      <c r="A133" s="38" t="s">
        <v>37</v>
      </c>
      <c r="B133" s="39"/>
      <c r="C133" s="40"/>
      <c r="D133" s="31">
        <f>5*77/360</f>
        <v>1.0694444444444444</v>
      </c>
      <c r="E133" s="31">
        <f>4*138/360</f>
        <v>1.5333333333333334</v>
      </c>
      <c r="F133" s="31">
        <f>131*3/360</f>
        <v>1.0916666666666666</v>
      </c>
      <c r="G133" s="31">
        <f>14*2/360</f>
        <v>7.7777777777777779E-2</v>
      </c>
      <c r="H133" s="31">
        <v>0</v>
      </c>
      <c r="I133" s="71">
        <f t="shared" si="3"/>
        <v>3.7722222222222221</v>
      </c>
      <c r="J133" s="110"/>
    </row>
    <row r="134" spans="1:11" x14ac:dyDescent="0.35">
      <c r="A134" s="41" t="s">
        <v>38</v>
      </c>
      <c r="B134" s="42"/>
      <c r="C134" s="43"/>
      <c r="D134" s="32">
        <f>77*100/360</f>
        <v>21.388888888888889</v>
      </c>
      <c r="E134" s="32">
        <f>129*100/360</f>
        <v>35.833333333333336</v>
      </c>
      <c r="F134" s="32">
        <f>140*100/360</f>
        <v>38.888888888888886</v>
      </c>
      <c r="G134" s="32">
        <f>14*100/360</f>
        <v>3.8888888888888888</v>
      </c>
      <c r="H134" s="32">
        <v>0</v>
      </c>
      <c r="I134" s="33">
        <f t="shared" si="3"/>
        <v>100</v>
      </c>
      <c r="J134" s="109" t="s">
        <v>30</v>
      </c>
    </row>
    <row r="135" spans="1:11" x14ac:dyDescent="0.35">
      <c r="A135" s="38" t="s">
        <v>39</v>
      </c>
      <c r="B135" s="39"/>
      <c r="C135" s="40"/>
      <c r="D135" s="31">
        <f>77*5/360</f>
        <v>1.0694444444444444</v>
      </c>
      <c r="E135" s="31">
        <f>129*4/360</f>
        <v>1.4333333333333333</v>
      </c>
      <c r="F135" s="31">
        <f>140*3/360</f>
        <v>1.1666666666666667</v>
      </c>
      <c r="G135" s="31">
        <f>14*2/360</f>
        <v>7.7777777777777779E-2</v>
      </c>
      <c r="H135" s="31">
        <v>0</v>
      </c>
      <c r="I135" s="75">
        <f t="shared" si="3"/>
        <v>3.7472222222222227</v>
      </c>
      <c r="J135" s="110"/>
      <c r="K135" s="58"/>
    </row>
    <row r="136" spans="1:11" x14ac:dyDescent="0.35">
      <c r="A136" s="41" t="s">
        <v>40</v>
      </c>
      <c r="B136" s="42"/>
      <c r="C136" s="43"/>
      <c r="D136" s="32">
        <f>74*100/360</f>
        <v>20.555555555555557</v>
      </c>
      <c r="E136" s="32">
        <f>141*100/360</f>
        <v>39.166666666666664</v>
      </c>
      <c r="F136" s="32">
        <f>132*100/360</f>
        <v>36.666666666666664</v>
      </c>
      <c r="G136" s="32">
        <f>13*100/360</f>
        <v>3.6111111111111112</v>
      </c>
      <c r="H136" s="32">
        <v>0</v>
      </c>
      <c r="I136" s="33">
        <f t="shared" si="3"/>
        <v>100</v>
      </c>
      <c r="J136" s="109" t="s">
        <v>30</v>
      </c>
    </row>
    <row r="137" spans="1:11" x14ac:dyDescent="0.35">
      <c r="A137" s="38" t="s">
        <v>41</v>
      </c>
      <c r="B137" s="39"/>
      <c r="C137" s="40"/>
      <c r="D137" s="31">
        <f>5*75/360</f>
        <v>1.0416666666666667</v>
      </c>
      <c r="E137" s="31">
        <f>141*4/360</f>
        <v>1.5666666666666667</v>
      </c>
      <c r="F137" s="31">
        <f>132*3/360</f>
        <v>1.1000000000000001</v>
      </c>
      <c r="G137" s="31">
        <f>13*2/360</f>
        <v>7.2222222222222215E-2</v>
      </c>
      <c r="H137" s="31">
        <v>0</v>
      </c>
      <c r="I137" s="31">
        <f t="shared" si="3"/>
        <v>3.7805555555555559</v>
      </c>
      <c r="J137" s="110"/>
    </row>
    <row r="138" spans="1:11" x14ac:dyDescent="0.35">
      <c r="A138" s="41" t="s">
        <v>42</v>
      </c>
      <c r="B138" s="42"/>
      <c r="C138" s="43"/>
      <c r="D138" s="32">
        <f>83*100/360</f>
        <v>23.055555555555557</v>
      </c>
      <c r="E138" s="32">
        <f>145*100/360</f>
        <v>40.277777777777779</v>
      </c>
      <c r="F138" s="32">
        <f>119*100/360</f>
        <v>33.055555555555557</v>
      </c>
      <c r="G138" s="32">
        <f>12*100/360</f>
        <v>3.3333333333333335</v>
      </c>
      <c r="H138" s="32">
        <f>1*100/360</f>
        <v>0.27777777777777779</v>
      </c>
      <c r="I138" s="33">
        <f t="shared" si="3"/>
        <v>100.00000000000001</v>
      </c>
      <c r="J138" s="109" t="s">
        <v>30</v>
      </c>
    </row>
    <row r="139" spans="1:11" x14ac:dyDescent="0.35">
      <c r="A139" s="38" t="s">
        <v>43</v>
      </c>
      <c r="B139" s="39"/>
      <c r="C139" s="40"/>
      <c r="D139" s="31">
        <f>83*5/360</f>
        <v>1.1527777777777777</v>
      </c>
      <c r="E139" s="31">
        <f>145*4/360</f>
        <v>1.6111111111111112</v>
      </c>
      <c r="F139" s="31">
        <f>119*3/360</f>
        <v>0.9916666666666667</v>
      </c>
      <c r="G139" s="31">
        <f>12*2/360</f>
        <v>6.6666666666666666E-2</v>
      </c>
      <c r="H139" s="31">
        <f>1*1/360</f>
        <v>2.7777777777777779E-3</v>
      </c>
      <c r="I139" s="31">
        <f t="shared" si="3"/>
        <v>3.8250000000000002</v>
      </c>
      <c r="J139" s="110"/>
    </row>
    <row r="140" spans="1:11" x14ac:dyDescent="0.35">
      <c r="A140" s="41" t="s">
        <v>44</v>
      </c>
      <c r="B140" s="42"/>
      <c r="C140" s="43"/>
      <c r="D140" s="32">
        <f>76*100/360</f>
        <v>21.111111111111111</v>
      </c>
      <c r="E140" s="32">
        <f>148*100/360</f>
        <v>41.111111111111114</v>
      </c>
      <c r="F140" s="32">
        <f>129*100/360</f>
        <v>35.833333333333336</v>
      </c>
      <c r="G140" s="32">
        <f>7*100/360</f>
        <v>1.9444444444444444</v>
      </c>
      <c r="H140" s="32">
        <v>0</v>
      </c>
      <c r="I140" s="33">
        <f t="shared" si="3"/>
        <v>100</v>
      </c>
      <c r="J140" s="109" t="s">
        <v>30</v>
      </c>
    </row>
    <row r="141" spans="1:11" x14ac:dyDescent="0.35">
      <c r="A141" s="38" t="s">
        <v>45</v>
      </c>
      <c r="B141" s="39"/>
      <c r="C141" s="40"/>
      <c r="D141" s="31">
        <f>76*5/360</f>
        <v>1.0555555555555556</v>
      </c>
      <c r="E141" s="31">
        <f>148*4/360</f>
        <v>1.6444444444444444</v>
      </c>
      <c r="F141" s="31">
        <f>129*3/360</f>
        <v>1.075</v>
      </c>
      <c r="G141" s="31">
        <f>7*2/360</f>
        <v>3.888888888888889E-2</v>
      </c>
      <c r="H141" s="31">
        <v>0</v>
      </c>
      <c r="I141" s="31">
        <f t="shared" si="3"/>
        <v>3.8138888888888891</v>
      </c>
      <c r="J141" s="110"/>
    </row>
    <row r="142" spans="1:11" x14ac:dyDescent="0.35">
      <c r="A142" s="41" t="s">
        <v>46</v>
      </c>
      <c r="B142" s="42"/>
      <c r="C142" s="43"/>
      <c r="D142" s="32">
        <f>90*100/360</f>
        <v>25</v>
      </c>
      <c r="E142" s="32">
        <f>142*100/360</f>
        <v>39.444444444444443</v>
      </c>
      <c r="F142" s="32">
        <f>119*100/360</f>
        <v>33.055555555555557</v>
      </c>
      <c r="G142" s="32">
        <f>9*100/360</f>
        <v>2.5</v>
      </c>
      <c r="H142" s="32">
        <v>0</v>
      </c>
      <c r="I142" s="33">
        <f t="shared" si="3"/>
        <v>100</v>
      </c>
      <c r="J142" s="109" t="s">
        <v>30</v>
      </c>
    </row>
    <row r="143" spans="1:11" x14ac:dyDescent="0.35">
      <c r="A143" s="38" t="s">
        <v>47</v>
      </c>
      <c r="B143" s="39"/>
      <c r="C143" s="40"/>
      <c r="D143" s="31">
        <f>90*5/360</f>
        <v>1.25</v>
      </c>
      <c r="E143" s="31">
        <f>142*4/360</f>
        <v>1.5777777777777777</v>
      </c>
      <c r="F143" s="31">
        <f>119*3/360</f>
        <v>0.9916666666666667</v>
      </c>
      <c r="G143" s="31">
        <f>9*2/360</f>
        <v>0.05</v>
      </c>
      <c r="H143" s="31">
        <v>0</v>
      </c>
      <c r="I143" s="86">
        <f t="shared" si="3"/>
        <v>3.8694444444444445</v>
      </c>
      <c r="J143" s="110"/>
    </row>
    <row r="144" spans="1:11" x14ac:dyDescent="0.35">
      <c r="A144" s="41" t="s">
        <v>48</v>
      </c>
      <c r="B144" s="42"/>
      <c r="C144" s="43"/>
      <c r="D144" s="32">
        <f>89*100/360</f>
        <v>24.722222222222221</v>
      </c>
      <c r="E144" s="32">
        <f>137*100/360</f>
        <v>38.055555555555557</v>
      </c>
      <c r="F144" s="32">
        <f>122*100/360</f>
        <v>33.888888888888886</v>
      </c>
      <c r="G144" s="32">
        <f>12*100/360</f>
        <v>3.3333333333333335</v>
      </c>
      <c r="H144" s="32">
        <v>0</v>
      </c>
      <c r="I144" s="33">
        <f t="shared" si="3"/>
        <v>100</v>
      </c>
      <c r="J144" s="109" t="s">
        <v>30</v>
      </c>
    </row>
    <row r="145" spans="1:16" x14ac:dyDescent="0.35">
      <c r="A145" s="38" t="s">
        <v>49</v>
      </c>
      <c r="B145" s="39"/>
      <c r="C145" s="40"/>
      <c r="D145" s="31">
        <f>89*5/360</f>
        <v>1.2361111111111112</v>
      </c>
      <c r="E145" s="31">
        <f>137*4/360</f>
        <v>1.5222222222222221</v>
      </c>
      <c r="F145" s="31">
        <f>122*3/360</f>
        <v>1.0166666666666666</v>
      </c>
      <c r="G145" s="31">
        <f>12*2/360</f>
        <v>6.6666666666666666E-2</v>
      </c>
      <c r="H145" s="31">
        <v>0</v>
      </c>
      <c r="I145" s="31">
        <f t="shared" si="3"/>
        <v>3.8416666666666663</v>
      </c>
      <c r="J145" s="110"/>
    </row>
    <row r="146" spans="1:16" x14ac:dyDescent="0.35">
      <c r="A146" s="41" t="s">
        <v>50</v>
      </c>
      <c r="B146" s="42"/>
      <c r="C146" s="43"/>
      <c r="D146" s="32">
        <f>90*100/360</f>
        <v>25</v>
      </c>
      <c r="E146" s="32">
        <f>137*100/360</f>
        <v>38.055555555555557</v>
      </c>
      <c r="F146" s="32">
        <f>122*100/360</f>
        <v>33.888888888888886</v>
      </c>
      <c r="G146" s="32">
        <f>10*100/360</f>
        <v>2.7777777777777777</v>
      </c>
      <c r="H146" s="32">
        <f>1*100/360</f>
        <v>0.27777777777777779</v>
      </c>
      <c r="I146" s="33">
        <f t="shared" si="3"/>
        <v>100</v>
      </c>
      <c r="J146" s="109" t="s">
        <v>30</v>
      </c>
      <c r="K146" s="57">
        <f>D146+D144+D142+D140+D138+D136+D134+D132+D130</f>
        <v>203.61111111111111</v>
      </c>
      <c r="L146" s="57">
        <f>E146+E144+E142+E140+E138+E136+E134+E132+E130</f>
        <v>347.77777777777777</v>
      </c>
      <c r="M146" s="57">
        <f>F146+F144+F142+F140+F138+F136+F134+F132+F130</f>
        <v>318.61111111111109</v>
      </c>
      <c r="N146" s="57">
        <f>G146+G144+G142+G140+G138+G136+G134+G132+G130</f>
        <v>29.444444444444446</v>
      </c>
      <c r="O146" s="57">
        <f>H146+H144+H142+H140+H138+H136+H134+H132+H130</f>
        <v>0.55555555555555558</v>
      </c>
      <c r="P146" s="58">
        <f>SUM(K146:O146)</f>
        <v>900</v>
      </c>
    </row>
    <row r="147" spans="1:16" x14ac:dyDescent="0.35">
      <c r="A147" s="38" t="s">
        <v>51</v>
      </c>
      <c r="B147" s="39"/>
      <c r="C147" s="40"/>
      <c r="D147" s="31">
        <f>90*5/360</f>
        <v>1.25</v>
      </c>
      <c r="E147" s="31">
        <f>137*4/360</f>
        <v>1.5222222222222221</v>
      </c>
      <c r="F147" s="31">
        <f>3*122/360</f>
        <v>1.0166666666666666</v>
      </c>
      <c r="G147" s="31">
        <f>10*2/360</f>
        <v>5.5555555555555552E-2</v>
      </c>
      <c r="H147" s="31">
        <f>1*1/360</f>
        <v>2.7777777777777779E-3</v>
      </c>
      <c r="I147" s="87">
        <f t="shared" si="3"/>
        <v>3.8472222222222223</v>
      </c>
      <c r="J147" s="110"/>
      <c r="K147" s="59">
        <f>K146/9</f>
        <v>22.623456790123456</v>
      </c>
      <c r="L147" s="59">
        <f>L146/9</f>
        <v>38.641975308641975</v>
      </c>
      <c r="M147" s="59">
        <f>M146/9</f>
        <v>35.401234567901234</v>
      </c>
      <c r="N147" s="59">
        <f>N146/9</f>
        <v>3.2716049382716053</v>
      </c>
      <c r="O147" s="59">
        <f>O146/9</f>
        <v>6.1728395061728399E-2</v>
      </c>
      <c r="P147" s="58">
        <f>SUM(K147:O147)</f>
        <v>100</v>
      </c>
    </row>
    <row r="148" spans="1:16" x14ac:dyDescent="0.35">
      <c r="A148" s="103" t="s">
        <v>52</v>
      </c>
      <c r="B148" s="104"/>
      <c r="C148" s="105"/>
      <c r="D148" s="34">
        <f>K147</f>
        <v>22.623456790123456</v>
      </c>
      <c r="E148" s="34">
        <f>L147</f>
        <v>38.641975308641975</v>
      </c>
      <c r="F148" s="34">
        <f>M147</f>
        <v>35.401234567901234</v>
      </c>
      <c r="G148" s="34">
        <f>N147</f>
        <v>3.2716049382716053</v>
      </c>
      <c r="H148" s="34">
        <f>O147</f>
        <v>6.1728395061728399E-2</v>
      </c>
      <c r="I148" s="73">
        <f t="shared" si="3"/>
        <v>100</v>
      </c>
      <c r="J148" s="111" t="s">
        <v>30</v>
      </c>
      <c r="K148" s="60">
        <f>D147+D145+D143+D141+D139+D137+D135+D133+D131</f>
        <v>10.194444444444445</v>
      </c>
      <c r="L148" s="60">
        <f>E147+E145+E143+E141+E139+E137+E135+E133+E131</f>
        <v>13.91111111111111</v>
      </c>
      <c r="M148" s="60">
        <f>F147+F145+F143+F141+F139+F137+F135+F133+F131</f>
        <v>9.5583333333333336</v>
      </c>
      <c r="N148" s="60">
        <f>G147+G145+G143+G141+G139+G137+G135+G133+G131</f>
        <v>0.58888888888888891</v>
      </c>
      <c r="O148" s="60">
        <f>H147+H145+H143+H141+H139+H137+H135+H133+H131</f>
        <v>5.5555555555555558E-3</v>
      </c>
      <c r="P148" s="58">
        <f>K148+L148+M148+N148+O148</f>
        <v>34.258333333333333</v>
      </c>
    </row>
    <row r="149" spans="1:16" x14ac:dyDescent="0.35">
      <c r="A149" s="106"/>
      <c r="B149" s="107"/>
      <c r="C149" s="108"/>
      <c r="D149" s="70">
        <f>K149</f>
        <v>1.132716049382716</v>
      </c>
      <c r="E149" s="70">
        <f>L149</f>
        <v>1.5456790123456789</v>
      </c>
      <c r="F149" s="70">
        <f>M149</f>
        <v>1.0620370370370371</v>
      </c>
      <c r="G149" s="70">
        <f>N149</f>
        <v>6.5432098765432101E-2</v>
      </c>
      <c r="H149" s="70">
        <f>O149</f>
        <v>6.1728395061728394E-4</v>
      </c>
      <c r="I149" s="78">
        <f t="shared" si="3"/>
        <v>3.8064814814814811</v>
      </c>
      <c r="J149" s="112"/>
      <c r="K149" s="61">
        <f>K148/9</f>
        <v>1.132716049382716</v>
      </c>
      <c r="L149" s="61">
        <f>L148/9</f>
        <v>1.5456790123456789</v>
      </c>
      <c r="M149" s="61">
        <f>M148/9</f>
        <v>1.0620370370370371</v>
      </c>
      <c r="N149" s="61">
        <f>N148/9</f>
        <v>6.5432098765432101E-2</v>
      </c>
      <c r="O149" s="61">
        <f>O148/9</f>
        <v>6.1728395061728394E-4</v>
      </c>
      <c r="P149" s="58">
        <f>SUM(K149:O149)</f>
        <v>3.8064814814814816</v>
      </c>
    </row>
    <row r="150" spans="1:16" x14ac:dyDescent="0.35">
      <c r="A150" s="24"/>
      <c r="B150" s="24"/>
      <c r="C150" s="24"/>
      <c r="D150" s="25"/>
      <c r="E150" s="24"/>
      <c r="F150" s="24"/>
      <c r="G150" s="24"/>
      <c r="H150" s="24"/>
      <c r="I150" s="24"/>
      <c r="J150" s="24"/>
      <c r="K150" s="58"/>
    </row>
    <row r="151" spans="1:16" x14ac:dyDescent="0.35">
      <c r="A151" s="4"/>
      <c r="B151" s="1" t="s">
        <v>108</v>
      </c>
      <c r="C151" s="4"/>
      <c r="D151" s="4"/>
      <c r="E151" s="4"/>
      <c r="F151" s="4"/>
      <c r="G151" s="4"/>
      <c r="H151" s="4"/>
      <c r="I151" s="4"/>
      <c r="J151" s="4"/>
    </row>
    <row r="152" spans="1:16" x14ac:dyDescent="0.35">
      <c r="A152" s="4" t="s">
        <v>110</v>
      </c>
      <c r="B152" s="4"/>
      <c r="C152" s="4"/>
      <c r="D152" s="4"/>
      <c r="E152" s="4"/>
      <c r="F152" s="4"/>
      <c r="G152" s="4"/>
      <c r="H152" s="4"/>
      <c r="I152" s="4"/>
      <c r="J152" s="4"/>
    </row>
    <row r="153" spans="1:16" x14ac:dyDescent="0.35">
      <c r="A153" s="4"/>
      <c r="B153" s="1" t="s">
        <v>156</v>
      </c>
      <c r="C153" s="4"/>
      <c r="D153" s="4"/>
      <c r="E153" s="4"/>
      <c r="F153" s="4"/>
      <c r="G153" s="4"/>
      <c r="H153" s="4"/>
      <c r="I153" s="4"/>
      <c r="J153" s="4"/>
    </row>
    <row r="154" spans="1:16" x14ac:dyDescent="0.35">
      <c r="A154" s="4" t="s">
        <v>157</v>
      </c>
      <c r="B154" s="4"/>
      <c r="C154" s="4"/>
      <c r="D154" s="4"/>
      <c r="E154" s="4"/>
      <c r="F154" s="4"/>
      <c r="G154" s="4"/>
      <c r="H154" s="4"/>
      <c r="I154" s="4"/>
      <c r="J154" s="4"/>
    </row>
    <row r="155" spans="1:16" x14ac:dyDescent="0.35">
      <c r="A155" s="4" t="s">
        <v>158</v>
      </c>
      <c r="B155" s="4"/>
      <c r="C155" s="4"/>
      <c r="D155" s="4"/>
      <c r="E155" s="4"/>
      <c r="F155" s="4"/>
      <c r="G155" s="4"/>
      <c r="H155" s="4"/>
      <c r="I155" s="4"/>
      <c r="J155" s="4"/>
    </row>
    <row r="156" spans="1:16" x14ac:dyDescent="0.35">
      <c r="A156" s="4" t="s">
        <v>159</v>
      </c>
      <c r="B156" s="4"/>
      <c r="C156" s="4"/>
      <c r="D156" s="4"/>
      <c r="E156" s="4"/>
      <c r="F156" s="4"/>
      <c r="G156" s="4"/>
      <c r="H156" s="4"/>
      <c r="I156" s="4"/>
      <c r="J156" s="4"/>
    </row>
    <row r="157" spans="1:16" x14ac:dyDescent="0.35">
      <c r="A157" s="4" t="s">
        <v>160</v>
      </c>
      <c r="B157" s="4"/>
      <c r="C157" s="4"/>
      <c r="D157" s="4"/>
      <c r="E157" s="4"/>
      <c r="F157" s="4"/>
      <c r="G157" s="4"/>
      <c r="H157" s="4"/>
      <c r="I157" s="4"/>
      <c r="J157" s="4"/>
    </row>
    <row r="158" spans="1:16" x14ac:dyDescent="0.35">
      <c r="A158" s="4" t="s">
        <v>161</v>
      </c>
      <c r="B158" s="4"/>
      <c r="C158" s="4"/>
      <c r="D158" s="4"/>
      <c r="E158" s="4"/>
      <c r="F158" s="4"/>
      <c r="G158" s="4"/>
      <c r="H158" s="4"/>
      <c r="I158" s="4"/>
      <c r="J158" s="4"/>
    </row>
    <row r="159" spans="1:16" x14ac:dyDescent="0.35">
      <c r="A159" s="4"/>
      <c r="B159" s="4" t="s">
        <v>155</v>
      </c>
      <c r="C159" s="4"/>
      <c r="D159" s="4"/>
      <c r="E159" s="4"/>
      <c r="F159" s="4"/>
      <c r="G159" s="4"/>
      <c r="H159" s="4"/>
      <c r="I159" s="4"/>
      <c r="J159" s="4"/>
    </row>
    <row r="160" spans="1:16" x14ac:dyDescent="0.35">
      <c r="A160" s="4" t="s">
        <v>144</v>
      </c>
      <c r="B160" s="4"/>
      <c r="C160" s="4"/>
      <c r="D160" s="4"/>
      <c r="E160" s="4"/>
      <c r="F160" s="4"/>
      <c r="G160" s="4"/>
      <c r="H160" s="4"/>
      <c r="I160" s="4"/>
      <c r="J160" s="4"/>
    </row>
    <row r="161" spans="1:10" x14ac:dyDescent="0.35">
      <c r="A161" s="4"/>
      <c r="B161" s="4"/>
      <c r="C161" s="4"/>
      <c r="D161" s="4"/>
      <c r="E161" s="4"/>
      <c r="F161" s="4"/>
      <c r="G161" s="4"/>
      <c r="H161" s="4"/>
      <c r="I161" s="4"/>
      <c r="J161" s="4"/>
    </row>
    <row r="163" spans="1:10" x14ac:dyDescent="0.35">
      <c r="J163" s="1">
        <v>106</v>
      </c>
    </row>
    <row r="164" spans="1:10" x14ac:dyDescent="0.35">
      <c r="A164" s="46" t="s">
        <v>69</v>
      </c>
      <c r="B164" s="3"/>
    </row>
    <row r="165" spans="1:10" x14ac:dyDescent="0.35">
      <c r="A165" s="46"/>
      <c r="B165" s="1" t="s">
        <v>70</v>
      </c>
    </row>
    <row r="166" spans="1:10" x14ac:dyDescent="0.35">
      <c r="A166" s="1" t="s">
        <v>71</v>
      </c>
      <c r="B166" s="3"/>
    </row>
    <row r="167" spans="1:10" x14ac:dyDescent="0.35">
      <c r="A167" s="1"/>
    </row>
    <row r="168" spans="1:10" x14ac:dyDescent="0.35">
      <c r="A168" s="95" t="s">
        <v>25</v>
      </c>
      <c r="B168" s="96"/>
      <c r="C168" s="97"/>
      <c r="D168" s="26" t="s">
        <v>4</v>
      </c>
      <c r="E168" s="26" t="s">
        <v>4</v>
      </c>
      <c r="F168" s="26" t="s">
        <v>4</v>
      </c>
      <c r="G168" s="26" t="s">
        <v>4</v>
      </c>
      <c r="H168" s="26" t="s">
        <v>4</v>
      </c>
      <c r="I168" s="101" t="s">
        <v>28</v>
      </c>
      <c r="J168" s="26" t="s">
        <v>26</v>
      </c>
    </row>
    <row r="169" spans="1:10" x14ac:dyDescent="0.35">
      <c r="A169" s="98"/>
      <c r="B169" s="99"/>
      <c r="C169" s="100"/>
      <c r="D169" s="27" t="s">
        <v>29</v>
      </c>
      <c r="E169" s="27" t="s">
        <v>30</v>
      </c>
      <c r="F169" s="27" t="s">
        <v>31</v>
      </c>
      <c r="G169" s="27" t="s">
        <v>32</v>
      </c>
      <c r="H169" s="27" t="s">
        <v>33</v>
      </c>
      <c r="I169" s="102"/>
      <c r="J169" s="28" t="s">
        <v>27</v>
      </c>
    </row>
    <row r="170" spans="1:10" x14ac:dyDescent="0.35">
      <c r="A170" s="35" t="s">
        <v>34</v>
      </c>
      <c r="B170" s="36"/>
      <c r="C170" s="37"/>
      <c r="D170" s="29">
        <f>70*100/360</f>
        <v>19.444444444444443</v>
      </c>
      <c r="E170" s="29">
        <f>137*100/360</f>
        <v>38.055555555555557</v>
      </c>
      <c r="F170" s="29">
        <f>134*100/360</f>
        <v>37.222222222222221</v>
      </c>
      <c r="G170" s="29">
        <f>19*100/360</f>
        <v>5.2777777777777777</v>
      </c>
      <c r="H170" s="29">
        <v>0</v>
      </c>
      <c r="I170" s="30">
        <f t="shared" ref="I170:I189" si="4">H170+G170+F170+E170+D170</f>
        <v>100</v>
      </c>
      <c r="J170" s="109" t="s">
        <v>30</v>
      </c>
    </row>
    <row r="171" spans="1:10" x14ac:dyDescent="0.35">
      <c r="A171" s="38" t="s">
        <v>35</v>
      </c>
      <c r="B171" s="39"/>
      <c r="C171" s="40"/>
      <c r="D171" s="31">
        <f>70*5/360</f>
        <v>0.97222222222222221</v>
      </c>
      <c r="E171" s="31">
        <f>4*137/360</f>
        <v>1.5222222222222221</v>
      </c>
      <c r="F171" s="31">
        <f>134*3/360</f>
        <v>1.1166666666666667</v>
      </c>
      <c r="G171" s="31">
        <f>19*2/360</f>
        <v>0.10555555555555556</v>
      </c>
      <c r="H171" s="31">
        <v>0</v>
      </c>
      <c r="I171" s="71">
        <f t="shared" si="4"/>
        <v>3.7166666666666668</v>
      </c>
      <c r="J171" s="110"/>
    </row>
    <row r="172" spans="1:10" x14ac:dyDescent="0.35">
      <c r="A172" s="41" t="s">
        <v>36</v>
      </c>
      <c r="B172" s="42"/>
      <c r="C172" s="43"/>
      <c r="D172" s="32">
        <f>70*100/360</f>
        <v>19.444444444444443</v>
      </c>
      <c r="E172" s="32">
        <f>138*100/360</f>
        <v>38.333333333333336</v>
      </c>
      <c r="F172" s="32">
        <f>133*100/360</f>
        <v>36.944444444444443</v>
      </c>
      <c r="G172" s="32">
        <f>19*100/360</f>
        <v>5.2777777777777777</v>
      </c>
      <c r="H172" s="32">
        <v>0</v>
      </c>
      <c r="I172" s="33">
        <f t="shared" si="4"/>
        <v>100</v>
      </c>
      <c r="J172" s="109" t="s">
        <v>30</v>
      </c>
    </row>
    <row r="173" spans="1:10" x14ac:dyDescent="0.35">
      <c r="A173" s="38" t="s">
        <v>37</v>
      </c>
      <c r="B173" s="39"/>
      <c r="C173" s="40"/>
      <c r="D173" s="31">
        <f>70*5/360</f>
        <v>0.97222222222222221</v>
      </c>
      <c r="E173" s="31">
        <f>138*4/360</f>
        <v>1.5333333333333334</v>
      </c>
      <c r="F173" s="31">
        <f>133*3/360</f>
        <v>1.1083333333333334</v>
      </c>
      <c r="G173" s="31">
        <f>2*19/360</f>
        <v>0.10555555555555556</v>
      </c>
      <c r="H173" s="31">
        <v>0</v>
      </c>
      <c r="I173" s="31">
        <f t="shared" si="4"/>
        <v>3.719444444444445</v>
      </c>
      <c r="J173" s="110"/>
    </row>
    <row r="174" spans="1:10" x14ac:dyDescent="0.35">
      <c r="A174" s="41" t="s">
        <v>38</v>
      </c>
      <c r="B174" s="42"/>
      <c r="C174" s="43"/>
      <c r="D174" s="32">
        <f>72*100/360</f>
        <v>20</v>
      </c>
      <c r="E174" s="32">
        <f>133*100/360</f>
        <v>36.944444444444443</v>
      </c>
      <c r="F174" s="32">
        <f>132*100/360</f>
        <v>36.666666666666664</v>
      </c>
      <c r="G174" s="32">
        <f>23*100/360</f>
        <v>6.3888888888888893</v>
      </c>
      <c r="H174" s="32">
        <v>0</v>
      </c>
      <c r="I174" s="33">
        <f t="shared" si="4"/>
        <v>100</v>
      </c>
      <c r="J174" s="109" t="s">
        <v>30</v>
      </c>
    </row>
    <row r="175" spans="1:10" x14ac:dyDescent="0.35">
      <c r="A175" s="38" t="s">
        <v>39</v>
      </c>
      <c r="B175" s="39"/>
      <c r="C175" s="40"/>
      <c r="D175" s="31">
        <f>72*5/360</f>
        <v>1</v>
      </c>
      <c r="E175" s="31">
        <f>133*4/360</f>
        <v>1.4777777777777779</v>
      </c>
      <c r="F175" s="31">
        <f>132*3/360</f>
        <v>1.1000000000000001</v>
      </c>
      <c r="G175" s="31">
        <f>2*23/360</f>
        <v>0.12777777777777777</v>
      </c>
      <c r="H175" s="31">
        <v>0</v>
      </c>
      <c r="I175" s="75">
        <f t="shared" si="4"/>
        <v>3.7055555555555557</v>
      </c>
      <c r="J175" s="110"/>
    </row>
    <row r="176" spans="1:10" x14ac:dyDescent="0.35">
      <c r="A176" s="41" t="s">
        <v>40</v>
      </c>
      <c r="B176" s="42"/>
      <c r="C176" s="43"/>
      <c r="D176" s="32">
        <f>70*100/360</f>
        <v>19.444444444444443</v>
      </c>
      <c r="E176" s="32">
        <f>140*100/360</f>
        <v>38.888888888888886</v>
      </c>
      <c r="F176" s="32">
        <f>134*100/360</f>
        <v>37.222222222222221</v>
      </c>
      <c r="G176" s="32">
        <f>16*100/360</f>
        <v>4.4444444444444446</v>
      </c>
      <c r="H176" s="32">
        <v>0</v>
      </c>
      <c r="I176" s="33">
        <f t="shared" si="4"/>
        <v>99.999999999999986</v>
      </c>
      <c r="J176" s="109" t="s">
        <v>30</v>
      </c>
    </row>
    <row r="177" spans="1:16" x14ac:dyDescent="0.35">
      <c r="A177" s="38" t="s">
        <v>41</v>
      </c>
      <c r="B177" s="39"/>
      <c r="C177" s="40"/>
      <c r="D177" s="31">
        <f>5*70/360</f>
        <v>0.97222222222222221</v>
      </c>
      <c r="E177" s="31">
        <f>4*140/360</f>
        <v>1.5555555555555556</v>
      </c>
      <c r="F177" s="31">
        <f>3*134/360</f>
        <v>1.1166666666666667</v>
      </c>
      <c r="G177" s="31">
        <f>2*16/360</f>
        <v>8.8888888888888892E-2</v>
      </c>
      <c r="H177" s="31">
        <v>0</v>
      </c>
      <c r="I177" s="31">
        <f t="shared" si="4"/>
        <v>3.7333333333333334</v>
      </c>
      <c r="J177" s="110"/>
    </row>
    <row r="178" spans="1:16" x14ac:dyDescent="0.35">
      <c r="A178" s="41" t="s">
        <v>42</v>
      </c>
      <c r="B178" s="42"/>
      <c r="C178" s="43"/>
      <c r="D178" s="32">
        <f>78*100/360</f>
        <v>21.666666666666668</v>
      </c>
      <c r="E178" s="32">
        <f>148*100/360</f>
        <v>41.111111111111114</v>
      </c>
      <c r="F178" s="32">
        <f>117*100/360</f>
        <v>32.5</v>
      </c>
      <c r="G178" s="32">
        <f>15*100/360</f>
        <v>4.166666666666667</v>
      </c>
      <c r="H178" s="32">
        <f>2*100/360</f>
        <v>0.55555555555555558</v>
      </c>
      <c r="I178" s="33">
        <f t="shared" si="4"/>
        <v>100.00000000000001</v>
      </c>
      <c r="J178" s="109" t="s">
        <v>30</v>
      </c>
    </row>
    <row r="179" spans="1:16" x14ac:dyDescent="0.35">
      <c r="A179" s="38" t="s">
        <v>43</v>
      </c>
      <c r="B179" s="39"/>
      <c r="C179" s="40"/>
      <c r="D179" s="31">
        <f>5*78/360</f>
        <v>1.0833333333333333</v>
      </c>
      <c r="E179" s="31">
        <f>4*148/360</f>
        <v>1.6444444444444444</v>
      </c>
      <c r="F179" s="31">
        <f>3*117/360</f>
        <v>0.97499999999999998</v>
      </c>
      <c r="G179" s="31">
        <f>15*2/360</f>
        <v>8.3333333333333329E-2</v>
      </c>
      <c r="H179" s="31">
        <f>2*1/360</f>
        <v>5.5555555555555558E-3</v>
      </c>
      <c r="I179" s="71">
        <f t="shared" si="4"/>
        <v>3.7916666666666661</v>
      </c>
      <c r="J179" s="110"/>
    </row>
    <row r="180" spans="1:16" x14ac:dyDescent="0.35">
      <c r="A180" s="41" t="s">
        <v>44</v>
      </c>
      <c r="B180" s="42"/>
      <c r="C180" s="43"/>
      <c r="D180" s="32">
        <f>73*100/360</f>
        <v>20.277777777777779</v>
      </c>
      <c r="E180" s="32">
        <f>143*100/360</f>
        <v>39.722222222222221</v>
      </c>
      <c r="F180" s="32">
        <f>135*100/360</f>
        <v>37.5</v>
      </c>
      <c r="G180" s="32">
        <f>9*100/360</f>
        <v>2.5</v>
      </c>
      <c r="H180" s="32">
        <v>0</v>
      </c>
      <c r="I180" s="33">
        <f t="shared" si="4"/>
        <v>100</v>
      </c>
      <c r="J180" s="109" t="s">
        <v>30</v>
      </c>
    </row>
    <row r="181" spans="1:16" x14ac:dyDescent="0.35">
      <c r="A181" s="38" t="s">
        <v>45</v>
      </c>
      <c r="B181" s="39"/>
      <c r="C181" s="40"/>
      <c r="D181" s="31">
        <f>5*73/360</f>
        <v>1.0138888888888888</v>
      </c>
      <c r="E181" s="31">
        <f>4*143/360</f>
        <v>1.5888888888888888</v>
      </c>
      <c r="F181" s="31">
        <f>3*135/360</f>
        <v>1.125</v>
      </c>
      <c r="G181" s="31">
        <f>2*9/360</f>
        <v>0.05</v>
      </c>
      <c r="H181" s="31">
        <v>0</v>
      </c>
      <c r="I181" s="31">
        <f t="shared" si="4"/>
        <v>3.7777777777777777</v>
      </c>
      <c r="J181" s="110"/>
    </row>
    <row r="182" spans="1:16" x14ac:dyDescent="0.35">
      <c r="A182" s="41" t="s">
        <v>46</v>
      </c>
      <c r="B182" s="42"/>
      <c r="C182" s="43"/>
      <c r="D182" s="32">
        <f>89*100/360</f>
        <v>24.722222222222221</v>
      </c>
      <c r="E182" s="32">
        <f>134*100/360</f>
        <v>37.222222222222221</v>
      </c>
      <c r="F182" s="32">
        <f>121*100/360</f>
        <v>33.611111111111114</v>
      </c>
      <c r="G182" s="32">
        <f>15*100/360</f>
        <v>4.166666666666667</v>
      </c>
      <c r="H182" s="32">
        <f>1*100/360</f>
        <v>0.27777777777777779</v>
      </c>
      <c r="I182" s="33">
        <f t="shared" si="4"/>
        <v>100</v>
      </c>
      <c r="J182" s="109" t="s">
        <v>30</v>
      </c>
    </row>
    <row r="183" spans="1:16" x14ac:dyDescent="0.35">
      <c r="A183" s="38" t="s">
        <v>47</v>
      </c>
      <c r="B183" s="39"/>
      <c r="C183" s="40"/>
      <c r="D183" s="31">
        <f>5*89/360</f>
        <v>1.2361111111111112</v>
      </c>
      <c r="E183" s="31">
        <f>134*4/360</f>
        <v>1.4888888888888889</v>
      </c>
      <c r="F183" s="31">
        <f>3*121/360</f>
        <v>1.0083333333333333</v>
      </c>
      <c r="G183" s="31">
        <f>2*15/360</f>
        <v>8.3333333333333329E-2</v>
      </c>
      <c r="H183" s="31">
        <f>1*1/360</f>
        <v>2.7777777777777779E-3</v>
      </c>
      <c r="I183" s="85">
        <f t="shared" si="4"/>
        <v>3.8194444444444442</v>
      </c>
      <c r="J183" s="110"/>
    </row>
    <row r="184" spans="1:16" x14ac:dyDescent="0.35">
      <c r="A184" s="41" t="s">
        <v>48</v>
      </c>
      <c r="B184" s="42"/>
      <c r="C184" s="43"/>
      <c r="D184" s="32">
        <f>89*100/360</f>
        <v>24.722222222222221</v>
      </c>
      <c r="E184" s="32">
        <f>130*100/360</f>
        <v>36.111111111111114</v>
      </c>
      <c r="F184" s="32">
        <f>128*100/360</f>
        <v>35.555555555555557</v>
      </c>
      <c r="G184" s="32">
        <f>13*100/360</f>
        <v>3.6111111111111112</v>
      </c>
      <c r="H184" s="32">
        <f>1*100/360</f>
        <v>0.27777777777777779</v>
      </c>
      <c r="I184" s="33">
        <f t="shared" si="4"/>
        <v>100.27777777777777</v>
      </c>
      <c r="J184" s="109" t="s">
        <v>30</v>
      </c>
    </row>
    <row r="185" spans="1:16" x14ac:dyDescent="0.35">
      <c r="A185" s="38" t="s">
        <v>49</v>
      </c>
      <c r="B185" s="39"/>
      <c r="C185" s="40"/>
      <c r="D185" s="31">
        <f>5*89/360</f>
        <v>1.2361111111111112</v>
      </c>
      <c r="E185" s="31">
        <f>4*130/360</f>
        <v>1.4444444444444444</v>
      </c>
      <c r="F185" s="31">
        <f>3*127/360</f>
        <v>1.0583333333333333</v>
      </c>
      <c r="G185" s="31">
        <f>2*13/360</f>
        <v>7.2222222222222215E-2</v>
      </c>
      <c r="H185" s="31">
        <f>1*1/360</f>
        <v>2.7777777777777779E-3</v>
      </c>
      <c r="I185" s="87">
        <f t="shared" si="4"/>
        <v>3.8138888888888887</v>
      </c>
      <c r="J185" s="110"/>
    </row>
    <row r="186" spans="1:16" x14ac:dyDescent="0.35">
      <c r="A186" s="41" t="s">
        <v>50</v>
      </c>
      <c r="B186" s="42"/>
      <c r="C186" s="43"/>
      <c r="D186" s="32">
        <f>88*100/360</f>
        <v>24.444444444444443</v>
      </c>
      <c r="E186" s="32">
        <f>130*100/360</f>
        <v>36.111111111111114</v>
      </c>
      <c r="F186" s="32">
        <f>130*100/360</f>
        <v>36.111111111111114</v>
      </c>
      <c r="G186" s="32">
        <f>10*100/360</f>
        <v>2.7777777777777777</v>
      </c>
      <c r="H186" s="32">
        <f>2*100/360</f>
        <v>0.55555555555555558</v>
      </c>
      <c r="I186" s="33">
        <f t="shared" si="4"/>
        <v>100.00000000000001</v>
      </c>
      <c r="J186" s="109" t="s">
        <v>30</v>
      </c>
      <c r="K186" s="57">
        <f>D186+D184+D182+D180+D178+D176+D174+D172+D170</f>
        <v>194.16666666666669</v>
      </c>
      <c r="L186" s="57">
        <f>E186+E184+E182+E180+E178+E176+E174+E172+E170</f>
        <v>342.5</v>
      </c>
      <c r="M186" s="57">
        <f>F186+F184+F182+F180+F178+F176+F174+F172+F170</f>
        <v>323.33333333333331</v>
      </c>
      <c r="N186" s="57">
        <f>G186+G184+G182+G180+G178+G176+G174+G172+G170</f>
        <v>38.611111111111114</v>
      </c>
      <c r="O186" s="57">
        <f>H186+H184+H182+H180+H178+H176+H174+H172+H170</f>
        <v>1.6666666666666667</v>
      </c>
      <c r="P186" s="58">
        <f>SUM(K186:O186)</f>
        <v>900.27777777777771</v>
      </c>
    </row>
    <row r="187" spans="1:16" x14ac:dyDescent="0.35">
      <c r="A187" s="38" t="s">
        <v>51</v>
      </c>
      <c r="B187" s="39"/>
      <c r="C187" s="40"/>
      <c r="D187" s="31">
        <f>5*88/360</f>
        <v>1.2222222222222223</v>
      </c>
      <c r="E187" s="31">
        <f>4*130/360</f>
        <v>1.4444444444444444</v>
      </c>
      <c r="F187" s="31">
        <f>3*130/360</f>
        <v>1.0833333333333333</v>
      </c>
      <c r="G187" s="31">
        <f>2*10/360</f>
        <v>5.5555555555555552E-2</v>
      </c>
      <c r="H187" s="31">
        <f>2*1/360</f>
        <v>5.5555555555555558E-3</v>
      </c>
      <c r="I187" s="87">
        <f t="shared" si="4"/>
        <v>3.8111111111111109</v>
      </c>
      <c r="J187" s="110"/>
      <c r="K187" s="59">
        <f>K186/9</f>
        <v>21.574074074074076</v>
      </c>
      <c r="L187" s="59">
        <f>L186/9</f>
        <v>38.055555555555557</v>
      </c>
      <c r="M187" s="59">
        <f>M186/9</f>
        <v>35.925925925925924</v>
      </c>
      <c r="N187" s="59">
        <f>N186/9</f>
        <v>4.2901234567901234</v>
      </c>
      <c r="O187" s="59">
        <f>O186/9</f>
        <v>0.1851851851851852</v>
      </c>
      <c r="P187" s="58">
        <f>SUM(K187:O187)</f>
        <v>100.03086419753087</v>
      </c>
    </row>
    <row r="188" spans="1:16" x14ac:dyDescent="0.35">
      <c r="A188" s="103" t="s">
        <v>52</v>
      </c>
      <c r="B188" s="104"/>
      <c r="C188" s="105"/>
      <c r="D188" s="34">
        <f>K187</f>
        <v>21.574074074074076</v>
      </c>
      <c r="E188" s="34">
        <f>L187</f>
        <v>38.055555555555557</v>
      </c>
      <c r="F188" s="34">
        <f>M187</f>
        <v>35.925925925925924</v>
      </c>
      <c r="G188" s="34">
        <f>N187</f>
        <v>4.2901234567901234</v>
      </c>
      <c r="H188" s="34">
        <f>O187</f>
        <v>0.1851851851851852</v>
      </c>
      <c r="I188" s="73">
        <f t="shared" si="4"/>
        <v>100.03086419753086</v>
      </c>
      <c r="J188" s="111" t="s">
        <v>30</v>
      </c>
      <c r="K188" s="60">
        <f>D187+D185+D183+D181+D179+D177+D175+D173+D171</f>
        <v>9.7083333333333321</v>
      </c>
      <c r="L188" s="60">
        <f>E187+E185+E183+E181+E179+E177+E175+E173+E171</f>
        <v>13.7</v>
      </c>
      <c r="M188" s="60">
        <f>F187+F185+F183+F181+F179+F177+F175+F173+F171</f>
        <v>9.6916666666666664</v>
      </c>
      <c r="N188" s="60">
        <f>G187+G185+G183+G181+G179+G177+G175+G173+G171</f>
        <v>0.77222222222222214</v>
      </c>
      <c r="O188" s="60">
        <f>H187+H185+H183+H181+H179+H177+H175+H173+H171</f>
        <v>1.6666666666666666E-2</v>
      </c>
      <c r="P188" s="58">
        <f>K188+L188+M188+N188+O188</f>
        <v>33.888888888888886</v>
      </c>
    </row>
    <row r="189" spans="1:16" x14ac:dyDescent="0.35">
      <c r="A189" s="106"/>
      <c r="B189" s="107"/>
      <c r="C189" s="108"/>
      <c r="D189" s="70">
        <f>K189</f>
        <v>1.0787037037037035</v>
      </c>
      <c r="E189" s="70">
        <f>L189</f>
        <v>1.5222222222222221</v>
      </c>
      <c r="F189" s="70">
        <f>M189</f>
        <v>1.0768518518518517</v>
      </c>
      <c r="G189" s="70">
        <f>N189</f>
        <v>8.5802469135802459E-2</v>
      </c>
      <c r="H189" s="70">
        <f>O189</f>
        <v>1.8518518518518519E-3</v>
      </c>
      <c r="I189" s="78">
        <f t="shared" si="4"/>
        <v>3.7654320987654319</v>
      </c>
      <c r="J189" s="112"/>
      <c r="K189" s="61">
        <f>K188/9</f>
        <v>1.0787037037037035</v>
      </c>
      <c r="L189" s="61">
        <f>L188/9</f>
        <v>1.5222222222222221</v>
      </c>
      <c r="M189" s="61">
        <f>M188/9</f>
        <v>1.0768518518518517</v>
      </c>
      <c r="N189" s="61">
        <f>N188/9</f>
        <v>8.5802469135802459E-2</v>
      </c>
      <c r="O189" s="61">
        <f>O188/9</f>
        <v>1.8518518518518519E-3</v>
      </c>
      <c r="P189" s="58">
        <f>SUM(K189:O189)</f>
        <v>3.7654320987654315</v>
      </c>
    </row>
    <row r="190" spans="1:16" x14ac:dyDescent="0.35">
      <c r="A190" s="24"/>
      <c r="B190" s="24"/>
      <c r="C190" s="24"/>
      <c r="D190" s="25"/>
      <c r="E190" s="24"/>
      <c r="F190" s="24"/>
      <c r="G190" s="24"/>
      <c r="H190" s="24"/>
      <c r="I190" s="24"/>
      <c r="J190" s="24"/>
      <c r="P190" s="58"/>
    </row>
    <row r="191" spans="1:16" x14ac:dyDescent="0.35">
      <c r="A191" s="4"/>
      <c r="B191" s="1" t="s">
        <v>120</v>
      </c>
      <c r="C191" s="4"/>
      <c r="D191" s="4"/>
      <c r="E191" s="4"/>
      <c r="F191" s="4"/>
      <c r="G191" s="4"/>
      <c r="H191" s="4"/>
      <c r="I191" s="4"/>
      <c r="J191" s="4"/>
    </row>
    <row r="192" spans="1:16" x14ac:dyDescent="0.35">
      <c r="A192" s="4" t="s">
        <v>110</v>
      </c>
      <c r="B192" s="4"/>
      <c r="C192" s="4"/>
      <c r="D192" s="4"/>
      <c r="E192" s="4"/>
      <c r="F192" s="4"/>
      <c r="G192" s="4"/>
      <c r="H192" s="4"/>
      <c r="I192" s="4"/>
      <c r="J192" s="4"/>
    </row>
    <row r="193" spans="1:10" x14ac:dyDescent="0.35">
      <c r="A193" s="4"/>
      <c r="B193" s="1" t="s">
        <v>117</v>
      </c>
      <c r="C193" s="4"/>
      <c r="D193" s="4"/>
      <c r="E193" s="4"/>
      <c r="F193" s="4"/>
      <c r="G193" s="4"/>
      <c r="H193" s="4"/>
      <c r="I193" s="4"/>
      <c r="J193" s="4"/>
    </row>
    <row r="194" spans="1:10" x14ac:dyDescent="0.35">
      <c r="A194" s="4" t="s">
        <v>122</v>
      </c>
      <c r="B194" s="4"/>
      <c r="C194" s="4"/>
      <c r="D194" s="4"/>
      <c r="E194" s="4"/>
      <c r="F194" s="4"/>
      <c r="G194" s="4"/>
      <c r="H194" s="4"/>
      <c r="I194" s="4"/>
      <c r="J194" s="4"/>
    </row>
    <row r="195" spans="1:10" x14ac:dyDescent="0.35">
      <c r="A195" s="4" t="s">
        <v>163</v>
      </c>
      <c r="B195" s="4"/>
      <c r="C195" s="4"/>
      <c r="D195" s="4"/>
      <c r="E195" s="4"/>
      <c r="F195" s="4"/>
      <c r="G195" s="4"/>
      <c r="H195" s="4"/>
      <c r="I195" s="4"/>
      <c r="J195" s="4"/>
    </row>
    <row r="196" spans="1:10" x14ac:dyDescent="0.35">
      <c r="A196" s="4" t="s">
        <v>164</v>
      </c>
      <c r="B196" s="4"/>
      <c r="C196" s="4"/>
      <c r="D196" s="4"/>
      <c r="E196" s="4"/>
      <c r="F196" s="4"/>
      <c r="G196" s="4"/>
      <c r="H196" s="4"/>
      <c r="I196" s="4"/>
      <c r="J196" s="4"/>
    </row>
    <row r="197" spans="1:10" x14ac:dyDescent="0.35">
      <c r="A197" s="4" t="s">
        <v>165</v>
      </c>
      <c r="B197" s="4"/>
      <c r="C197" s="4"/>
      <c r="D197" s="4"/>
      <c r="E197" s="4"/>
      <c r="F197" s="4"/>
      <c r="G197" s="4"/>
      <c r="H197" s="4"/>
      <c r="I197" s="4"/>
      <c r="J197" s="4"/>
    </row>
    <row r="198" spans="1:10" x14ac:dyDescent="0.35">
      <c r="A198" s="113" t="s">
        <v>162</v>
      </c>
      <c r="B198" s="113"/>
      <c r="C198" s="113"/>
      <c r="D198" s="113"/>
      <c r="E198" s="113"/>
      <c r="F198" s="113"/>
      <c r="G198" s="113"/>
      <c r="H198" s="113"/>
      <c r="I198" s="113"/>
      <c r="J198" s="113"/>
    </row>
    <row r="199" spans="1:10" x14ac:dyDescent="0.35">
      <c r="A199" s="82" t="s">
        <v>93</v>
      </c>
      <c r="B199" s="81"/>
      <c r="C199" s="81"/>
      <c r="D199" s="81"/>
      <c r="E199" s="81"/>
      <c r="F199" s="81"/>
      <c r="G199" s="81"/>
      <c r="H199" s="81"/>
      <c r="I199" s="81"/>
      <c r="J199" s="81"/>
    </row>
    <row r="200" spans="1:10" x14ac:dyDescent="0.35">
      <c r="A200" s="4"/>
      <c r="B200" s="4" t="s">
        <v>153</v>
      </c>
      <c r="C200" s="4"/>
      <c r="D200" s="4"/>
      <c r="E200" s="4"/>
      <c r="F200" s="4"/>
      <c r="G200" s="4"/>
      <c r="H200" s="4"/>
      <c r="I200" s="4"/>
      <c r="J200" s="4"/>
    </row>
    <row r="201" spans="1:10" x14ac:dyDescent="0.35">
      <c r="A201" s="4" t="s">
        <v>144</v>
      </c>
      <c r="B201" s="4"/>
      <c r="C201" s="4"/>
      <c r="D201" s="4"/>
      <c r="E201" s="4"/>
      <c r="F201" s="4"/>
      <c r="G201" s="4"/>
      <c r="H201" s="4"/>
      <c r="I201" s="4"/>
      <c r="J201" s="4"/>
    </row>
    <row r="202" spans="1:10" x14ac:dyDescent="0.35">
      <c r="A202" s="4"/>
      <c r="B202" s="4"/>
      <c r="C202" s="4"/>
      <c r="D202" s="4"/>
      <c r="E202" s="4"/>
      <c r="F202" s="4"/>
      <c r="G202" s="4" t="s">
        <v>53</v>
      </c>
      <c r="H202" s="4"/>
      <c r="I202" s="4"/>
      <c r="J202" s="4"/>
    </row>
    <row r="203" spans="1:10" x14ac:dyDescent="0.35">
      <c r="J203" s="1">
        <v>107</v>
      </c>
    </row>
    <row r="204" spans="1:10" x14ac:dyDescent="0.35">
      <c r="A204" s="46" t="s">
        <v>72</v>
      </c>
      <c r="B204" s="3"/>
    </row>
    <row r="205" spans="1:10" x14ac:dyDescent="0.35">
      <c r="A205" s="1"/>
      <c r="B205" s="1" t="s">
        <v>73</v>
      </c>
    </row>
    <row r="206" spans="1:10" x14ac:dyDescent="0.35">
      <c r="A206" s="1" t="s">
        <v>74</v>
      </c>
      <c r="B206" s="3"/>
    </row>
    <row r="207" spans="1:10" x14ac:dyDescent="0.35">
      <c r="A207" s="1" t="s">
        <v>75</v>
      </c>
      <c r="B207" s="3"/>
    </row>
    <row r="208" spans="1:10" x14ac:dyDescent="0.35">
      <c r="A208" s="1" t="s">
        <v>76</v>
      </c>
      <c r="B208" s="3"/>
    </row>
    <row r="209" spans="1:10" x14ac:dyDescent="0.35">
      <c r="A209" s="1"/>
    </row>
    <row r="210" spans="1:10" x14ac:dyDescent="0.35">
      <c r="A210" s="95" t="s">
        <v>25</v>
      </c>
      <c r="B210" s="96"/>
      <c r="C210" s="97"/>
      <c r="D210" s="26" t="s">
        <v>4</v>
      </c>
      <c r="E210" s="26" t="s">
        <v>4</v>
      </c>
      <c r="F210" s="26" t="s">
        <v>4</v>
      </c>
      <c r="G210" s="26" t="s">
        <v>4</v>
      </c>
      <c r="H210" s="26" t="s">
        <v>4</v>
      </c>
      <c r="I210" s="101" t="s">
        <v>28</v>
      </c>
      <c r="J210" s="26" t="s">
        <v>26</v>
      </c>
    </row>
    <row r="211" spans="1:10" x14ac:dyDescent="0.35">
      <c r="A211" s="98"/>
      <c r="B211" s="99"/>
      <c r="C211" s="100"/>
      <c r="D211" s="27" t="s">
        <v>29</v>
      </c>
      <c r="E211" s="27" t="s">
        <v>30</v>
      </c>
      <c r="F211" s="27" t="s">
        <v>31</v>
      </c>
      <c r="G211" s="27" t="s">
        <v>32</v>
      </c>
      <c r="H211" s="27" t="s">
        <v>33</v>
      </c>
      <c r="I211" s="102"/>
      <c r="J211" s="28" t="s">
        <v>27</v>
      </c>
    </row>
    <row r="212" spans="1:10" x14ac:dyDescent="0.35">
      <c r="A212" s="35" t="s">
        <v>34</v>
      </c>
      <c r="B212" s="36"/>
      <c r="C212" s="37"/>
      <c r="D212" s="29">
        <f>72*100/360</f>
        <v>20</v>
      </c>
      <c r="E212" s="29">
        <f>137*100/360</f>
        <v>38.055555555555557</v>
      </c>
      <c r="F212" s="29">
        <f>134*100/360</f>
        <v>37.222222222222221</v>
      </c>
      <c r="G212" s="29">
        <f>16*100/360</f>
        <v>4.4444444444444446</v>
      </c>
      <c r="H212" s="29">
        <f>1*100/360</f>
        <v>0.27777777777777779</v>
      </c>
      <c r="I212" s="30">
        <f t="shared" ref="I212:I231" si="5">H212+G212+F212+E212+D212</f>
        <v>100</v>
      </c>
      <c r="J212" s="109" t="s">
        <v>30</v>
      </c>
    </row>
    <row r="213" spans="1:10" x14ac:dyDescent="0.35">
      <c r="A213" s="38" t="s">
        <v>35</v>
      </c>
      <c r="B213" s="39"/>
      <c r="C213" s="40"/>
      <c r="D213" s="31">
        <f>5*72/360</f>
        <v>1</v>
      </c>
      <c r="E213" s="31">
        <f>4*137/360</f>
        <v>1.5222222222222221</v>
      </c>
      <c r="F213" s="31">
        <f>134*3/360</f>
        <v>1.1166666666666667</v>
      </c>
      <c r="G213" s="31">
        <f>2*16/360</f>
        <v>8.8888888888888892E-2</v>
      </c>
      <c r="H213" s="31">
        <f>1*1/360</f>
        <v>2.7777777777777779E-3</v>
      </c>
      <c r="I213" s="71">
        <f t="shared" si="5"/>
        <v>3.7305555555555556</v>
      </c>
      <c r="J213" s="110"/>
    </row>
    <row r="214" spans="1:10" x14ac:dyDescent="0.35">
      <c r="A214" s="41" t="s">
        <v>36</v>
      </c>
      <c r="B214" s="42"/>
      <c r="C214" s="43"/>
      <c r="D214" s="32">
        <f>71*100/360</f>
        <v>19.722222222222221</v>
      </c>
      <c r="E214" s="32">
        <f>140*100/360</f>
        <v>38.888888888888886</v>
      </c>
      <c r="F214" s="32">
        <f>128*100/360</f>
        <v>35.555555555555557</v>
      </c>
      <c r="G214" s="32">
        <f>20*100/360</f>
        <v>5.5555555555555554</v>
      </c>
      <c r="H214" s="32">
        <f>1*100/360</f>
        <v>0.27777777777777779</v>
      </c>
      <c r="I214" s="33">
        <f t="shared" si="5"/>
        <v>100</v>
      </c>
      <c r="J214" s="109" t="s">
        <v>30</v>
      </c>
    </row>
    <row r="215" spans="1:10" x14ac:dyDescent="0.35">
      <c r="A215" s="38" t="s">
        <v>37</v>
      </c>
      <c r="B215" s="39"/>
      <c r="C215" s="40"/>
      <c r="D215" s="31">
        <f>5*71/360</f>
        <v>0.98611111111111116</v>
      </c>
      <c r="E215" s="31">
        <f>4*140/360</f>
        <v>1.5555555555555556</v>
      </c>
      <c r="F215" s="31">
        <f>128*3/360</f>
        <v>1.0666666666666667</v>
      </c>
      <c r="G215" s="31">
        <f>2*20/360</f>
        <v>0.1111111111111111</v>
      </c>
      <c r="H215" s="31">
        <f>1*1/360</f>
        <v>2.7777777777777779E-3</v>
      </c>
      <c r="I215" s="31">
        <f t="shared" si="5"/>
        <v>3.7222222222222223</v>
      </c>
      <c r="J215" s="110"/>
    </row>
    <row r="216" spans="1:10" x14ac:dyDescent="0.35">
      <c r="A216" s="41" t="s">
        <v>38</v>
      </c>
      <c r="B216" s="42"/>
      <c r="C216" s="43"/>
      <c r="D216" s="32">
        <f>72*100/360</f>
        <v>20</v>
      </c>
      <c r="E216" s="32">
        <f>128*100/360</f>
        <v>35.555555555555557</v>
      </c>
      <c r="F216" s="32">
        <f>133*100/360</f>
        <v>36.944444444444443</v>
      </c>
      <c r="G216" s="32">
        <f>26*100/360</f>
        <v>7.2222222222222223</v>
      </c>
      <c r="H216" s="32">
        <f>1*100/360</f>
        <v>0.27777777777777779</v>
      </c>
      <c r="I216" s="33">
        <f t="shared" si="5"/>
        <v>100</v>
      </c>
      <c r="J216" s="109" t="s">
        <v>30</v>
      </c>
    </row>
    <row r="217" spans="1:10" x14ac:dyDescent="0.35">
      <c r="A217" s="38" t="s">
        <v>39</v>
      </c>
      <c r="B217" s="39"/>
      <c r="C217" s="40"/>
      <c r="D217" s="31">
        <f>72*5/360</f>
        <v>1</v>
      </c>
      <c r="E217" s="31">
        <f>128*4/360</f>
        <v>1.4222222222222223</v>
      </c>
      <c r="F217" s="31">
        <f>3*133/360</f>
        <v>1.1083333333333334</v>
      </c>
      <c r="G217" s="31">
        <f>26*2/360</f>
        <v>0.14444444444444443</v>
      </c>
      <c r="H217" s="31">
        <f>1*1/360</f>
        <v>2.7777777777777779E-3</v>
      </c>
      <c r="I217" s="75">
        <f t="shared" si="5"/>
        <v>3.677777777777778</v>
      </c>
      <c r="J217" s="110"/>
    </row>
    <row r="218" spans="1:10" x14ac:dyDescent="0.35">
      <c r="A218" s="41" t="s">
        <v>40</v>
      </c>
      <c r="B218" s="42"/>
      <c r="C218" s="43"/>
      <c r="D218" s="32">
        <f>71*100/360</f>
        <v>19.722222222222221</v>
      </c>
      <c r="E218" s="32">
        <f>140*100/360</f>
        <v>38.888888888888886</v>
      </c>
      <c r="F218" s="32">
        <f>130*100/360</f>
        <v>36.111111111111114</v>
      </c>
      <c r="G218" s="32">
        <f>17*100/360</f>
        <v>4.7222222222222223</v>
      </c>
      <c r="H218" s="32">
        <f>2*100/360</f>
        <v>0.55555555555555558</v>
      </c>
      <c r="I218" s="33">
        <f t="shared" si="5"/>
        <v>100</v>
      </c>
      <c r="J218" s="109" t="s">
        <v>30</v>
      </c>
    </row>
    <row r="219" spans="1:10" x14ac:dyDescent="0.35">
      <c r="A219" s="38" t="s">
        <v>41</v>
      </c>
      <c r="B219" s="39"/>
      <c r="C219" s="40"/>
      <c r="D219" s="31">
        <f>5*71/360</f>
        <v>0.98611111111111116</v>
      </c>
      <c r="E219" s="31">
        <f>4*140/360</f>
        <v>1.5555555555555556</v>
      </c>
      <c r="F219" s="31">
        <f>3*130/360</f>
        <v>1.0833333333333333</v>
      </c>
      <c r="G219" s="31">
        <f>2*17/360</f>
        <v>9.4444444444444442E-2</v>
      </c>
      <c r="H219" s="31">
        <f>1*2/360</f>
        <v>5.5555555555555558E-3</v>
      </c>
      <c r="I219" s="31">
        <f t="shared" si="5"/>
        <v>3.7250000000000001</v>
      </c>
      <c r="J219" s="110"/>
    </row>
    <row r="220" spans="1:10" x14ac:dyDescent="0.35">
      <c r="A220" s="41" t="s">
        <v>42</v>
      </c>
      <c r="B220" s="42"/>
      <c r="C220" s="43"/>
      <c r="D220" s="32">
        <f>76*100/360</f>
        <v>21.111111111111111</v>
      </c>
      <c r="E220" s="32">
        <f>147*100/360</f>
        <v>40.833333333333336</v>
      </c>
      <c r="F220" s="32">
        <f>121*100/360</f>
        <v>33.611111111111114</v>
      </c>
      <c r="G220" s="32">
        <f>13*100/360</f>
        <v>3.6111111111111112</v>
      </c>
      <c r="H220" s="32">
        <f>3*100/360</f>
        <v>0.83333333333333337</v>
      </c>
      <c r="I220" s="33">
        <f t="shared" si="5"/>
        <v>100</v>
      </c>
      <c r="J220" s="109" t="s">
        <v>30</v>
      </c>
    </row>
    <row r="221" spans="1:10" x14ac:dyDescent="0.35">
      <c r="A221" s="38" t="s">
        <v>43</v>
      </c>
      <c r="B221" s="39"/>
      <c r="C221" s="40"/>
      <c r="D221" s="31">
        <f>5*76/360</f>
        <v>1.0555555555555556</v>
      </c>
      <c r="E221" s="31">
        <f>4*147/360</f>
        <v>1.6333333333333333</v>
      </c>
      <c r="F221" s="31">
        <f>3*121/360</f>
        <v>1.0083333333333333</v>
      </c>
      <c r="G221" s="31">
        <f>2*13/360</f>
        <v>7.2222222222222215E-2</v>
      </c>
      <c r="H221" s="31">
        <f>1*3/360</f>
        <v>8.3333333333333332E-3</v>
      </c>
      <c r="I221" s="71">
        <f t="shared" si="5"/>
        <v>3.7777777777777777</v>
      </c>
      <c r="J221" s="110"/>
    </row>
    <row r="222" spans="1:10" x14ac:dyDescent="0.35">
      <c r="A222" s="41" t="s">
        <v>44</v>
      </c>
      <c r="B222" s="42"/>
      <c r="C222" s="43"/>
      <c r="D222" s="32">
        <f>72*100/360</f>
        <v>20</v>
      </c>
      <c r="E222" s="32">
        <f>143*100/360</f>
        <v>39.722222222222221</v>
      </c>
      <c r="F222" s="32">
        <f>133*100/360</f>
        <v>36.944444444444443</v>
      </c>
      <c r="G222" s="32">
        <f>10*100/360</f>
        <v>2.7777777777777777</v>
      </c>
      <c r="H222" s="32">
        <f>2*100/360</f>
        <v>0.55555555555555558</v>
      </c>
      <c r="I222" s="33">
        <f t="shared" si="5"/>
        <v>100</v>
      </c>
      <c r="J222" s="109" t="s">
        <v>30</v>
      </c>
    </row>
    <row r="223" spans="1:10" x14ac:dyDescent="0.35">
      <c r="A223" s="38" t="s">
        <v>45</v>
      </c>
      <c r="B223" s="39"/>
      <c r="C223" s="40"/>
      <c r="D223" s="31">
        <f>5*72/360</f>
        <v>1</v>
      </c>
      <c r="E223" s="31">
        <f>4*143/360</f>
        <v>1.5888888888888888</v>
      </c>
      <c r="F223" s="31">
        <f>3*133/360</f>
        <v>1.1083333333333334</v>
      </c>
      <c r="G223" s="31">
        <f>2*10/360</f>
        <v>5.5555555555555552E-2</v>
      </c>
      <c r="H223" s="31">
        <f>1*2/360</f>
        <v>5.5555555555555558E-3</v>
      </c>
      <c r="I223" s="71">
        <f t="shared" si="5"/>
        <v>3.7583333333333333</v>
      </c>
      <c r="J223" s="110"/>
    </row>
    <row r="224" spans="1:10" x14ac:dyDescent="0.35">
      <c r="A224" s="41" t="s">
        <v>46</v>
      </c>
      <c r="B224" s="42"/>
      <c r="C224" s="43"/>
      <c r="D224" s="32">
        <f>81*100/360</f>
        <v>22.5</v>
      </c>
      <c r="E224" s="32">
        <f>148*100/360</f>
        <v>41.111111111111114</v>
      </c>
      <c r="F224" s="32">
        <f>117*100/360</f>
        <v>32.5</v>
      </c>
      <c r="G224" s="32">
        <f>14*100/360</f>
        <v>3.8888888888888888</v>
      </c>
      <c r="H224" s="32">
        <v>0</v>
      </c>
      <c r="I224" s="33">
        <f t="shared" si="5"/>
        <v>100</v>
      </c>
      <c r="J224" s="109" t="s">
        <v>30</v>
      </c>
    </row>
    <row r="225" spans="1:16" x14ac:dyDescent="0.35">
      <c r="A225" s="38" t="s">
        <v>47</v>
      </c>
      <c r="B225" s="39"/>
      <c r="C225" s="40"/>
      <c r="D225" s="31">
        <f>81*5/360</f>
        <v>1.125</v>
      </c>
      <c r="E225" s="31">
        <f>4*148/360</f>
        <v>1.6444444444444444</v>
      </c>
      <c r="F225" s="31">
        <f>117*3/360</f>
        <v>0.97499999999999998</v>
      </c>
      <c r="G225" s="31">
        <f>14*2/360</f>
        <v>7.7777777777777779E-2</v>
      </c>
      <c r="H225" s="31">
        <v>0</v>
      </c>
      <c r="I225" s="86">
        <f t="shared" si="5"/>
        <v>3.822222222222222</v>
      </c>
      <c r="J225" s="110"/>
    </row>
    <row r="226" spans="1:16" x14ac:dyDescent="0.35">
      <c r="A226" s="41" t="s">
        <v>48</v>
      </c>
      <c r="B226" s="42"/>
      <c r="C226" s="43"/>
      <c r="D226" s="32">
        <f>84*100/360</f>
        <v>23.333333333333332</v>
      </c>
      <c r="E226" s="32">
        <f>139*100/360</f>
        <v>38.611111111111114</v>
      </c>
      <c r="F226" s="32">
        <f>119*100/360</f>
        <v>33.055555555555557</v>
      </c>
      <c r="G226" s="32">
        <f>15*100/360</f>
        <v>4.166666666666667</v>
      </c>
      <c r="H226" s="32">
        <f>3*100/360</f>
        <v>0.83333333333333337</v>
      </c>
      <c r="I226" s="33">
        <f t="shared" si="5"/>
        <v>100</v>
      </c>
      <c r="J226" s="109" t="s">
        <v>30</v>
      </c>
    </row>
    <row r="227" spans="1:16" x14ac:dyDescent="0.35">
      <c r="A227" s="38" t="s">
        <v>49</v>
      </c>
      <c r="B227" s="39"/>
      <c r="C227" s="40"/>
      <c r="D227" s="31">
        <f>84*5/360</f>
        <v>1.1666666666666667</v>
      </c>
      <c r="E227" s="31">
        <f>139*4/360</f>
        <v>1.5444444444444445</v>
      </c>
      <c r="F227" s="31">
        <f>3*119/360</f>
        <v>0.9916666666666667</v>
      </c>
      <c r="G227" s="31">
        <f>2*15/360</f>
        <v>8.3333333333333329E-2</v>
      </c>
      <c r="H227" s="31">
        <f>3*1/360</f>
        <v>8.3333333333333332E-3</v>
      </c>
      <c r="I227" s="88">
        <f t="shared" si="5"/>
        <v>3.7944444444444443</v>
      </c>
      <c r="J227" s="110"/>
    </row>
    <row r="228" spans="1:16" x14ac:dyDescent="0.35">
      <c r="A228" s="41" t="s">
        <v>50</v>
      </c>
      <c r="B228" s="42"/>
      <c r="C228" s="43"/>
      <c r="D228" s="32">
        <f>84*100/360</f>
        <v>23.333333333333332</v>
      </c>
      <c r="E228" s="32">
        <f>139*100/360</f>
        <v>38.611111111111114</v>
      </c>
      <c r="F228" s="32">
        <f>119*100/360</f>
        <v>33.055555555555557</v>
      </c>
      <c r="G228" s="32">
        <f>15*100/360</f>
        <v>4.166666666666667</v>
      </c>
      <c r="H228" s="32">
        <f>3*100/360</f>
        <v>0.83333333333333337</v>
      </c>
      <c r="I228" s="33">
        <f t="shared" si="5"/>
        <v>100</v>
      </c>
      <c r="J228" s="109" t="s">
        <v>30</v>
      </c>
      <c r="K228" s="57">
        <f>D228+D226+D224+D222+D220+D218+D216+D214+D212</f>
        <v>189.72222222222223</v>
      </c>
      <c r="L228" s="57">
        <f>E228+E226+E224+E222+E220+E218+E216+E214+E212</f>
        <v>350.27777777777783</v>
      </c>
      <c r="M228" s="57">
        <f>F228+F226+F224+F222+F220+F218+F216+F214+F212</f>
        <v>315</v>
      </c>
      <c r="N228" s="57">
        <f>G228+G226+G224+G222+G220+G218+G216+G214+G212</f>
        <v>40.55555555555555</v>
      </c>
      <c r="O228" s="57">
        <f>H228+H226+H224+H222+H220+H218+H216+H214+H212</f>
        <v>4.4444444444444446</v>
      </c>
      <c r="P228" s="58">
        <f>SUM(K228:O228)</f>
        <v>900</v>
      </c>
    </row>
    <row r="229" spans="1:16" x14ac:dyDescent="0.35">
      <c r="A229" s="38" t="s">
        <v>51</v>
      </c>
      <c r="B229" s="39"/>
      <c r="C229" s="40"/>
      <c r="D229" s="31">
        <f>5*84/360</f>
        <v>1.1666666666666667</v>
      </c>
      <c r="E229" s="31">
        <f>4*139/360</f>
        <v>1.5444444444444445</v>
      </c>
      <c r="F229" s="31">
        <f>3*119/360</f>
        <v>0.9916666666666667</v>
      </c>
      <c r="G229" s="31">
        <f>15*2/360</f>
        <v>8.3333333333333329E-2</v>
      </c>
      <c r="H229" s="31">
        <f>3*1/360</f>
        <v>8.3333333333333332E-3</v>
      </c>
      <c r="I229" s="87">
        <f t="shared" si="5"/>
        <v>3.7944444444444443</v>
      </c>
      <c r="J229" s="110"/>
      <c r="K229" s="59">
        <f>K228/9</f>
        <v>21.080246913580247</v>
      </c>
      <c r="L229" s="59">
        <f>L228/9</f>
        <v>38.91975308641976</v>
      </c>
      <c r="M229" s="59">
        <f>M228/9</f>
        <v>35</v>
      </c>
      <c r="N229" s="59">
        <f>N228/9</f>
        <v>4.5061728395061724</v>
      </c>
      <c r="O229" s="59">
        <f>O228/9</f>
        <v>0.49382716049382719</v>
      </c>
      <c r="P229" s="58">
        <f>SUM(K229:O229)</f>
        <v>100</v>
      </c>
    </row>
    <row r="230" spans="1:16" x14ac:dyDescent="0.35">
      <c r="A230" s="103" t="s">
        <v>52</v>
      </c>
      <c r="B230" s="104"/>
      <c r="C230" s="105"/>
      <c r="D230" s="34">
        <f>K229</f>
        <v>21.080246913580247</v>
      </c>
      <c r="E230" s="34">
        <f>L229</f>
        <v>38.91975308641976</v>
      </c>
      <c r="F230" s="34">
        <f>M229</f>
        <v>35</v>
      </c>
      <c r="G230" s="34">
        <f>N229</f>
        <v>4.5061728395061724</v>
      </c>
      <c r="H230" s="34">
        <f>O229</f>
        <v>0.49382716049382719</v>
      </c>
      <c r="I230" s="73">
        <f t="shared" si="5"/>
        <v>100</v>
      </c>
      <c r="J230" s="111" t="s">
        <v>30</v>
      </c>
      <c r="K230" s="60">
        <f>D229+D227+D225+D223+D221+D219+D217+D215+D213</f>
        <v>9.4861111111111107</v>
      </c>
      <c r="L230" s="60">
        <f>E229+E227+E225+E223+E221+E219+E217+E215+E213</f>
        <v>14.011111111111111</v>
      </c>
      <c r="M230" s="60">
        <f>F229+F227+F225+F223+F221+F219+F217+F215+F213</f>
        <v>9.4499999999999993</v>
      </c>
      <c r="N230" s="60">
        <f>G229+G227+G225+G223+G221+G219+G217+G215+G213</f>
        <v>0.81111111111111123</v>
      </c>
      <c r="O230" s="60">
        <f>H229+H227+H225+H223+H221+H219+H217+H215+H213</f>
        <v>4.4444444444444439E-2</v>
      </c>
      <c r="P230" s="58">
        <f>K230+L230+M230+N230+O230</f>
        <v>33.802777777777777</v>
      </c>
    </row>
    <row r="231" spans="1:16" x14ac:dyDescent="0.35">
      <c r="A231" s="106"/>
      <c r="B231" s="107"/>
      <c r="C231" s="108"/>
      <c r="D231" s="70">
        <f>K231</f>
        <v>1.0540123456790123</v>
      </c>
      <c r="E231" s="70">
        <f>L231</f>
        <v>1.55679012345679</v>
      </c>
      <c r="F231" s="70">
        <f>M231</f>
        <v>1.0499999999999998</v>
      </c>
      <c r="G231" s="70">
        <f>N231</f>
        <v>9.0123456790123471E-2</v>
      </c>
      <c r="H231" s="70">
        <f>O231</f>
        <v>4.9382716049382706E-3</v>
      </c>
      <c r="I231" s="78">
        <f t="shared" si="5"/>
        <v>3.755864197530864</v>
      </c>
      <c r="J231" s="112"/>
      <c r="K231" s="61">
        <f>K230/9</f>
        <v>1.0540123456790123</v>
      </c>
      <c r="L231" s="61">
        <f>L230/9</f>
        <v>1.55679012345679</v>
      </c>
      <c r="M231" s="61">
        <f>M230/9</f>
        <v>1.0499999999999998</v>
      </c>
      <c r="N231" s="61">
        <f>N230/9</f>
        <v>9.0123456790123471E-2</v>
      </c>
      <c r="O231" s="61">
        <f>O230/9</f>
        <v>4.9382716049382706E-3</v>
      </c>
      <c r="P231" s="58">
        <f>SUM(K231:O231)</f>
        <v>3.755864197530864</v>
      </c>
    </row>
    <row r="232" spans="1:16" ht="10.5" customHeight="1" x14ac:dyDescent="0.35">
      <c r="A232" s="24"/>
      <c r="B232" s="24"/>
      <c r="C232" s="24"/>
      <c r="D232" s="25"/>
      <c r="E232" s="24"/>
      <c r="F232" s="24"/>
      <c r="G232" s="24"/>
      <c r="H232" s="24"/>
      <c r="I232" s="24"/>
      <c r="J232" s="24"/>
    </row>
    <row r="233" spans="1:16" x14ac:dyDescent="0.35">
      <c r="A233" s="4"/>
      <c r="B233" s="1" t="s">
        <v>120</v>
      </c>
      <c r="C233" s="4"/>
      <c r="D233" s="4"/>
      <c r="E233" s="4"/>
      <c r="F233" s="4"/>
      <c r="G233" s="4"/>
      <c r="H233" s="4"/>
      <c r="I233" s="4"/>
      <c r="J233" s="4"/>
    </row>
    <row r="234" spans="1:16" x14ac:dyDescent="0.35">
      <c r="A234" s="4" t="s">
        <v>110</v>
      </c>
      <c r="B234" s="4"/>
      <c r="C234" s="4"/>
      <c r="D234" s="4"/>
      <c r="E234" s="4"/>
      <c r="F234" s="4"/>
      <c r="G234" s="4"/>
      <c r="H234" s="4"/>
      <c r="I234" s="4"/>
      <c r="J234" s="4"/>
    </row>
    <row r="235" spans="1:16" x14ac:dyDescent="0.35">
      <c r="A235" s="4"/>
      <c r="B235" s="1" t="s">
        <v>111</v>
      </c>
      <c r="C235" s="4"/>
      <c r="D235" s="4"/>
      <c r="E235" s="4"/>
      <c r="F235" s="4"/>
      <c r="G235" s="4"/>
      <c r="H235" s="4"/>
      <c r="I235" s="4"/>
      <c r="J235" s="4"/>
    </row>
    <row r="236" spans="1:16" x14ac:dyDescent="0.35">
      <c r="A236" s="4" t="s">
        <v>122</v>
      </c>
      <c r="B236" s="4"/>
      <c r="C236" s="4"/>
      <c r="D236" s="4"/>
      <c r="E236" s="4"/>
      <c r="F236" s="4"/>
      <c r="G236" s="4"/>
      <c r="H236" s="4"/>
      <c r="I236" s="4"/>
      <c r="J236" s="4"/>
    </row>
    <row r="237" spans="1:16" x14ac:dyDescent="0.35">
      <c r="A237" s="4" t="s">
        <v>166</v>
      </c>
      <c r="B237" s="4"/>
      <c r="C237" s="4"/>
      <c r="D237" s="4"/>
      <c r="E237" s="4"/>
      <c r="F237" s="4"/>
      <c r="G237" s="4"/>
      <c r="H237" s="4"/>
      <c r="I237" s="4"/>
      <c r="J237" s="4"/>
    </row>
    <row r="238" spans="1:16" x14ac:dyDescent="0.35">
      <c r="A238" s="4" t="s">
        <v>164</v>
      </c>
      <c r="B238" s="4"/>
      <c r="C238" s="4"/>
      <c r="D238" s="4"/>
      <c r="E238" s="4"/>
      <c r="F238" s="4"/>
      <c r="G238" s="4"/>
      <c r="H238" s="4"/>
      <c r="I238" s="4"/>
      <c r="J238" s="4"/>
    </row>
    <row r="239" spans="1:16" x14ac:dyDescent="0.35">
      <c r="A239" s="4" t="s">
        <v>167</v>
      </c>
      <c r="B239" s="4"/>
      <c r="C239" s="4"/>
      <c r="D239" s="4"/>
      <c r="E239" s="4"/>
      <c r="F239" s="4"/>
      <c r="G239" s="4"/>
      <c r="H239" s="4"/>
      <c r="I239" s="4"/>
      <c r="J239" s="4"/>
    </row>
    <row r="240" spans="1:16" x14ac:dyDescent="0.35">
      <c r="A240" s="4" t="s">
        <v>168</v>
      </c>
      <c r="B240" s="4"/>
      <c r="C240" s="4"/>
      <c r="D240" s="4"/>
      <c r="E240" s="4"/>
      <c r="F240" s="4"/>
      <c r="G240" s="4"/>
      <c r="H240" s="4"/>
      <c r="I240" s="4"/>
      <c r="J240" s="4"/>
    </row>
    <row r="241" spans="1:10" x14ac:dyDescent="0.35">
      <c r="A241" s="4" t="s">
        <v>43</v>
      </c>
      <c r="B241" s="4"/>
      <c r="C241" s="4"/>
      <c r="D241" s="4"/>
      <c r="E241" s="4"/>
      <c r="F241" s="4"/>
      <c r="G241" s="4"/>
      <c r="H241" s="4"/>
      <c r="I241" s="4"/>
      <c r="J241" s="4"/>
    </row>
    <row r="242" spans="1:10" x14ac:dyDescent="0.35">
      <c r="A242" s="4"/>
      <c r="B242" s="4" t="s">
        <v>143</v>
      </c>
      <c r="C242" s="4"/>
      <c r="D242" s="4"/>
      <c r="E242" s="4"/>
      <c r="F242" s="4"/>
      <c r="G242" s="4"/>
      <c r="H242" s="4"/>
      <c r="I242" s="4"/>
      <c r="J242" s="4"/>
    </row>
    <row r="243" spans="1:10" x14ac:dyDescent="0.35">
      <c r="A243" s="4" t="s">
        <v>144</v>
      </c>
      <c r="B243" s="4"/>
      <c r="C243" s="4"/>
      <c r="D243" s="4"/>
      <c r="E243" s="4"/>
      <c r="F243" s="4"/>
      <c r="G243" s="4"/>
      <c r="H243" s="4"/>
      <c r="I243" s="4"/>
      <c r="J243" s="4"/>
    </row>
    <row r="244" spans="1:10" x14ac:dyDescent="0.35">
      <c r="A244" s="4"/>
      <c r="B244" s="4"/>
      <c r="C244" s="4"/>
      <c r="D244" s="4"/>
      <c r="E244" s="4"/>
      <c r="F244" s="4"/>
      <c r="G244" s="4" t="s">
        <v>53</v>
      </c>
      <c r="H244" s="4"/>
      <c r="I244" s="4"/>
      <c r="J244" s="4">
        <v>108</v>
      </c>
    </row>
    <row r="245" spans="1:10" x14ac:dyDescent="0.35">
      <c r="A245" s="46" t="s">
        <v>77</v>
      </c>
      <c r="B245" s="3"/>
    </row>
    <row r="246" spans="1:10" x14ac:dyDescent="0.35">
      <c r="A246" s="1"/>
      <c r="B246" s="1" t="s">
        <v>78</v>
      </c>
    </row>
    <row r="247" spans="1:10" x14ac:dyDescent="0.35">
      <c r="A247" s="1" t="s">
        <v>123</v>
      </c>
      <c r="B247" s="3"/>
    </row>
    <row r="248" spans="1:10" x14ac:dyDescent="0.35">
      <c r="A248" s="1" t="s">
        <v>124</v>
      </c>
      <c r="B248" s="3"/>
    </row>
    <row r="249" spans="1:10" x14ac:dyDescent="0.35">
      <c r="A249" s="1"/>
    </row>
    <row r="250" spans="1:10" x14ac:dyDescent="0.35">
      <c r="A250" s="95" t="s">
        <v>25</v>
      </c>
      <c r="B250" s="96"/>
      <c r="C250" s="97"/>
      <c r="D250" s="26" t="s">
        <v>4</v>
      </c>
      <c r="E250" s="26" t="s">
        <v>4</v>
      </c>
      <c r="F250" s="26" t="s">
        <v>4</v>
      </c>
      <c r="G250" s="26" t="s">
        <v>4</v>
      </c>
      <c r="H250" s="26" t="s">
        <v>4</v>
      </c>
      <c r="I250" s="101" t="s">
        <v>28</v>
      </c>
      <c r="J250" s="26" t="s">
        <v>26</v>
      </c>
    </row>
    <row r="251" spans="1:10" x14ac:dyDescent="0.35">
      <c r="A251" s="98"/>
      <c r="B251" s="99"/>
      <c r="C251" s="100"/>
      <c r="D251" s="27" t="s">
        <v>29</v>
      </c>
      <c r="E251" s="27" t="s">
        <v>30</v>
      </c>
      <c r="F251" s="27" t="s">
        <v>31</v>
      </c>
      <c r="G251" s="27" t="s">
        <v>32</v>
      </c>
      <c r="H251" s="27" t="s">
        <v>33</v>
      </c>
      <c r="I251" s="102"/>
      <c r="J251" s="28" t="s">
        <v>27</v>
      </c>
    </row>
    <row r="252" spans="1:10" x14ac:dyDescent="0.35">
      <c r="A252" s="35" t="s">
        <v>34</v>
      </c>
      <c r="B252" s="36"/>
      <c r="C252" s="37"/>
      <c r="D252" s="29">
        <f>71*100/360</f>
        <v>19.722222222222221</v>
      </c>
      <c r="E252" s="29">
        <f>141*100/360</f>
        <v>39.166666666666664</v>
      </c>
      <c r="F252" s="29">
        <f>129*100/360</f>
        <v>35.833333333333336</v>
      </c>
      <c r="G252" s="29">
        <f>19*100/360</f>
        <v>5.2777777777777777</v>
      </c>
      <c r="H252" s="29">
        <v>0</v>
      </c>
      <c r="I252" s="30">
        <f t="shared" ref="I252:I259" si="6">H252+G252+F252+E252+D252</f>
        <v>100</v>
      </c>
      <c r="J252" s="109" t="s">
        <v>30</v>
      </c>
    </row>
    <row r="253" spans="1:10" x14ac:dyDescent="0.35">
      <c r="A253" s="38" t="s">
        <v>35</v>
      </c>
      <c r="B253" s="39"/>
      <c r="C253" s="40"/>
      <c r="D253" s="31">
        <f>71*5/360</f>
        <v>0.98611111111111116</v>
      </c>
      <c r="E253" s="31">
        <f>4*141/360</f>
        <v>1.5666666666666667</v>
      </c>
      <c r="F253" s="31">
        <f>3*129/360</f>
        <v>1.075</v>
      </c>
      <c r="G253" s="31">
        <f>2*19/360</f>
        <v>0.10555555555555556</v>
      </c>
      <c r="H253" s="31">
        <v>0</v>
      </c>
      <c r="I253" s="31">
        <f t="shared" si="6"/>
        <v>3.7333333333333334</v>
      </c>
      <c r="J253" s="110"/>
    </row>
    <row r="254" spans="1:10" x14ac:dyDescent="0.35">
      <c r="A254" s="41" t="s">
        <v>36</v>
      </c>
      <c r="B254" s="42"/>
      <c r="C254" s="43"/>
      <c r="D254" s="32">
        <f>73*100/360</f>
        <v>20.277777777777779</v>
      </c>
      <c r="E254" s="32">
        <f>143*100/360</f>
        <v>39.722222222222221</v>
      </c>
      <c r="F254" s="32">
        <f>126*100/360</f>
        <v>35</v>
      </c>
      <c r="G254" s="32">
        <f>18*100/360</f>
        <v>5</v>
      </c>
      <c r="H254" s="32">
        <v>0</v>
      </c>
      <c r="I254" s="33">
        <f t="shared" si="6"/>
        <v>100</v>
      </c>
      <c r="J254" s="109" t="s">
        <v>30</v>
      </c>
    </row>
    <row r="255" spans="1:10" x14ac:dyDescent="0.35">
      <c r="A255" s="38" t="s">
        <v>37</v>
      </c>
      <c r="B255" s="39"/>
      <c r="C255" s="40"/>
      <c r="D255" s="31">
        <f>73*5/360</f>
        <v>1.0138888888888888</v>
      </c>
      <c r="E255" s="31">
        <f>4*143/360</f>
        <v>1.5888888888888888</v>
      </c>
      <c r="F255" s="31">
        <f>126*3/360</f>
        <v>1.05</v>
      </c>
      <c r="G255" s="31">
        <f>18*2/360</f>
        <v>0.1</v>
      </c>
      <c r="H255" s="31">
        <v>0</v>
      </c>
      <c r="I255" s="31">
        <f t="shared" si="6"/>
        <v>3.7527777777777778</v>
      </c>
      <c r="J255" s="110"/>
    </row>
    <row r="256" spans="1:10" x14ac:dyDescent="0.35">
      <c r="A256" s="41" t="s">
        <v>38</v>
      </c>
      <c r="B256" s="42"/>
      <c r="C256" s="43"/>
      <c r="D256" s="32">
        <f>71*100/360</f>
        <v>19.722222222222221</v>
      </c>
      <c r="E256" s="32">
        <f>137*100/360</f>
        <v>38.055555555555557</v>
      </c>
      <c r="F256" s="32">
        <f>130*100/360</f>
        <v>36.111111111111114</v>
      </c>
      <c r="G256" s="32">
        <f>22*100/360</f>
        <v>6.1111111111111107</v>
      </c>
      <c r="H256" s="32">
        <v>0</v>
      </c>
      <c r="I256" s="33">
        <f t="shared" si="6"/>
        <v>100</v>
      </c>
      <c r="J256" s="109" t="s">
        <v>30</v>
      </c>
    </row>
    <row r="257" spans="1:16" x14ac:dyDescent="0.35">
      <c r="A257" s="38" t="s">
        <v>39</v>
      </c>
      <c r="B257" s="39"/>
      <c r="C257" s="40"/>
      <c r="D257" s="31">
        <f>71*5/360</f>
        <v>0.98611111111111116</v>
      </c>
      <c r="E257" s="31">
        <f>4*137/360</f>
        <v>1.5222222222222221</v>
      </c>
      <c r="F257" s="31">
        <f>3*130/360</f>
        <v>1.0833333333333333</v>
      </c>
      <c r="G257" s="31">
        <f>2*22/360</f>
        <v>0.12222222222222222</v>
      </c>
      <c r="H257" s="31">
        <v>0</v>
      </c>
      <c r="I257" s="31">
        <f t="shared" si="6"/>
        <v>3.713888888888889</v>
      </c>
      <c r="J257" s="110"/>
      <c r="K257" s="58"/>
    </row>
    <row r="258" spans="1:16" x14ac:dyDescent="0.35">
      <c r="A258" s="41" t="s">
        <v>40</v>
      </c>
      <c r="B258" s="42"/>
      <c r="C258" s="43"/>
      <c r="D258" s="32">
        <f>68*100/360</f>
        <v>18.888888888888889</v>
      </c>
      <c r="E258" s="32">
        <f>142*100/360</f>
        <v>39.444444444444443</v>
      </c>
      <c r="F258" s="32">
        <f>134*100/360</f>
        <v>37.222222222222221</v>
      </c>
      <c r="G258" s="32">
        <f>16*100/360</f>
        <v>4.4444444444444446</v>
      </c>
      <c r="H258" s="32">
        <v>0</v>
      </c>
      <c r="I258" s="33">
        <f t="shared" si="6"/>
        <v>100</v>
      </c>
      <c r="J258" s="109" t="s">
        <v>30</v>
      </c>
    </row>
    <row r="259" spans="1:16" x14ac:dyDescent="0.35">
      <c r="A259" s="38" t="s">
        <v>41</v>
      </c>
      <c r="B259" s="39"/>
      <c r="C259" s="40"/>
      <c r="D259" s="31">
        <f>5*68/360</f>
        <v>0.94444444444444442</v>
      </c>
      <c r="E259" s="31">
        <f>142*4/360</f>
        <v>1.5777777777777777</v>
      </c>
      <c r="F259" s="31">
        <f>134*3/360</f>
        <v>1.1166666666666667</v>
      </c>
      <c r="G259" s="31">
        <f>16*3/360</f>
        <v>0.13333333333333333</v>
      </c>
      <c r="H259" s="31">
        <v>0</v>
      </c>
      <c r="I259" s="71">
        <f t="shared" si="6"/>
        <v>3.7722222222222221</v>
      </c>
      <c r="J259" s="110"/>
      <c r="K259" s="58"/>
    </row>
    <row r="260" spans="1:16" x14ac:dyDescent="0.35">
      <c r="A260" s="41" t="s">
        <v>42</v>
      </c>
      <c r="B260" s="42"/>
      <c r="C260" s="43"/>
      <c r="D260" s="32">
        <f>78*100/360</f>
        <v>21.666666666666668</v>
      </c>
      <c r="E260" s="32">
        <f>145*100/360</f>
        <v>40.277777777777779</v>
      </c>
      <c r="F260" s="32">
        <f>123*100/360</f>
        <v>34.166666666666664</v>
      </c>
      <c r="G260" s="32">
        <f>13*100/360</f>
        <v>3.6111111111111112</v>
      </c>
      <c r="H260" s="32">
        <f>1*100/360</f>
        <v>0.27777777777777779</v>
      </c>
      <c r="I260" s="33">
        <f t="shared" ref="I260:I271" si="7">H260+G260+F260+E260+D260</f>
        <v>100</v>
      </c>
      <c r="J260" s="109" t="s">
        <v>31</v>
      </c>
    </row>
    <row r="261" spans="1:16" x14ac:dyDescent="0.35">
      <c r="A261" s="38" t="s">
        <v>43</v>
      </c>
      <c r="B261" s="39"/>
      <c r="C261" s="40"/>
      <c r="D261" s="31">
        <f>38*5/360</f>
        <v>0.52777777777777779</v>
      </c>
      <c r="E261" s="31">
        <f>145*4/360</f>
        <v>1.6111111111111112</v>
      </c>
      <c r="F261" s="31">
        <f>123*3/360</f>
        <v>1.0249999999999999</v>
      </c>
      <c r="G261" s="31">
        <f>13*2/360</f>
        <v>7.2222222222222215E-2</v>
      </c>
      <c r="H261" s="31">
        <f>1*1/360</f>
        <v>2.7777777777777779E-3</v>
      </c>
      <c r="I261" s="75">
        <f t="shared" si="7"/>
        <v>3.2388888888888889</v>
      </c>
      <c r="J261" s="110"/>
    </row>
    <row r="262" spans="1:16" x14ac:dyDescent="0.35">
      <c r="A262" s="41" t="s">
        <v>44</v>
      </c>
      <c r="B262" s="42"/>
      <c r="C262" s="43"/>
      <c r="D262" s="32">
        <f>72*100/360</f>
        <v>20</v>
      </c>
      <c r="E262" s="32">
        <f>140*100/360</f>
        <v>38.888888888888886</v>
      </c>
      <c r="F262" s="32">
        <f>136*100/360</f>
        <v>37.777777777777779</v>
      </c>
      <c r="G262" s="32">
        <f>12*100/360</f>
        <v>3.3333333333333335</v>
      </c>
      <c r="H262" s="32">
        <v>0</v>
      </c>
      <c r="I262" s="33">
        <f t="shared" si="7"/>
        <v>100</v>
      </c>
      <c r="J262" s="109" t="s">
        <v>30</v>
      </c>
    </row>
    <row r="263" spans="1:16" x14ac:dyDescent="0.35">
      <c r="A263" s="38" t="s">
        <v>45</v>
      </c>
      <c r="B263" s="39"/>
      <c r="C263" s="40"/>
      <c r="D263" s="31">
        <f>72*5/360</f>
        <v>1</v>
      </c>
      <c r="E263" s="31">
        <f>140*4/360</f>
        <v>1.5555555555555556</v>
      </c>
      <c r="F263" s="31">
        <f>136*3/360</f>
        <v>1.1333333333333333</v>
      </c>
      <c r="G263" s="31">
        <f>12*2/360</f>
        <v>6.6666666666666666E-2</v>
      </c>
      <c r="H263" s="31">
        <v>0</v>
      </c>
      <c r="I263" s="83">
        <f t="shared" si="7"/>
        <v>3.7555555555555555</v>
      </c>
      <c r="J263" s="110"/>
    </row>
    <row r="264" spans="1:16" x14ac:dyDescent="0.35">
      <c r="A264" s="41" t="s">
        <v>46</v>
      </c>
      <c r="B264" s="42"/>
      <c r="C264" s="43"/>
      <c r="D264" s="32">
        <f>83*100/360</f>
        <v>23.055555555555557</v>
      </c>
      <c r="E264" s="32">
        <f>139*100/360</f>
        <v>38.611111111111114</v>
      </c>
      <c r="F264" s="32">
        <f>125*100/360</f>
        <v>34.722222222222221</v>
      </c>
      <c r="G264" s="32">
        <f>13*100/360</f>
        <v>3.6111111111111112</v>
      </c>
      <c r="H264" s="32">
        <v>0</v>
      </c>
      <c r="I264" s="33">
        <f t="shared" si="7"/>
        <v>100.00000000000001</v>
      </c>
      <c r="J264" s="109" t="s">
        <v>30</v>
      </c>
    </row>
    <row r="265" spans="1:16" x14ac:dyDescent="0.35">
      <c r="A265" s="38" t="s">
        <v>47</v>
      </c>
      <c r="B265" s="39"/>
      <c r="C265" s="40"/>
      <c r="D265" s="31">
        <f>83*5/360</f>
        <v>1.1527777777777777</v>
      </c>
      <c r="E265" s="31">
        <f>139*4/360</f>
        <v>1.5444444444444445</v>
      </c>
      <c r="F265" s="31">
        <f>125*3/360</f>
        <v>1.0416666666666667</v>
      </c>
      <c r="G265" s="31">
        <f>13*2/360</f>
        <v>7.2222222222222215E-2</v>
      </c>
      <c r="H265" s="31">
        <v>0</v>
      </c>
      <c r="I265" s="87">
        <f t="shared" si="7"/>
        <v>3.8111111111111109</v>
      </c>
      <c r="J265" s="110"/>
    </row>
    <row r="266" spans="1:16" x14ac:dyDescent="0.35">
      <c r="A266" s="41" t="s">
        <v>48</v>
      </c>
      <c r="B266" s="42"/>
      <c r="C266" s="43"/>
      <c r="D266" s="32">
        <f>86*100/360</f>
        <v>23.888888888888889</v>
      </c>
      <c r="E266" s="32">
        <f>135*100/360</f>
        <v>37.5</v>
      </c>
      <c r="F266" s="32">
        <f>127*100/360</f>
        <v>35.277777777777779</v>
      </c>
      <c r="G266" s="32">
        <f>12*100/360</f>
        <v>3.3333333333333335</v>
      </c>
      <c r="H266" s="32">
        <v>0</v>
      </c>
      <c r="I266" s="33">
        <f t="shared" si="7"/>
        <v>100</v>
      </c>
      <c r="J266" s="109" t="s">
        <v>30</v>
      </c>
    </row>
    <row r="267" spans="1:16" x14ac:dyDescent="0.35">
      <c r="A267" s="38" t="s">
        <v>49</v>
      </c>
      <c r="B267" s="39"/>
      <c r="C267" s="40"/>
      <c r="D267" s="31">
        <f>86*5/360</f>
        <v>1.1944444444444444</v>
      </c>
      <c r="E267" s="31">
        <f>135*4/360</f>
        <v>1.5</v>
      </c>
      <c r="F267" s="31">
        <f>127*3/360</f>
        <v>1.0583333333333333</v>
      </c>
      <c r="G267" s="31">
        <f>12*2/360</f>
        <v>6.6666666666666666E-2</v>
      </c>
      <c r="H267" s="31">
        <v>0</v>
      </c>
      <c r="I267" s="89">
        <f t="shared" si="7"/>
        <v>3.8194444444444446</v>
      </c>
      <c r="J267" s="110"/>
      <c r="K267" s="58"/>
      <c r="L267" s="58"/>
      <c r="M267" s="58"/>
      <c r="N267" s="58"/>
      <c r="O267" s="58"/>
    </row>
    <row r="268" spans="1:16" x14ac:dyDescent="0.35">
      <c r="A268" s="41" t="s">
        <v>50</v>
      </c>
      <c r="B268" s="42"/>
      <c r="C268" s="43"/>
      <c r="D268" s="32">
        <f>85*100/360</f>
        <v>23.611111111111111</v>
      </c>
      <c r="E268" s="32">
        <f>137*100/360</f>
        <v>38.055555555555557</v>
      </c>
      <c r="F268" s="32">
        <f>122*100/360</f>
        <v>33.888888888888886</v>
      </c>
      <c r="G268" s="32">
        <f>15*100/360</f>
        <v>4.166666666666667</v>
      </c>
      <c r="H268" s="32">
        <f>1*100/360</f>
        <v>0.27777777777777779</v>
      </c>
      <c r="I268" s="33">
        <f t="shared" si="7"/>
        <v>100</v>
      </c>
      <c r="J268" s="109" t="s">
        <v>30</v>
      </c>
      <c r="K268" s="57">
        <f>D268+D266+D264+D262+D260+D258+D256+D254+D252</f>
        <v>190.83333333333334</v>
      </c>
      <c r="L268" s="57">
        <f>E268+E266+E264+E262+E260+E258+E256+E254+E252</f>
        <v>349.72222222222223</v>
      </c>
      <c r="M268" s="57">
        <f>F268+F266+F264+F262+F260+F258+F256+F254+F252</f>
        <v>319.99999999999994</v>
      </c>
      <c r="N268" s="57">
        <f>G268+G266+G264+G262+G260+G258+G256+G254+G252</f>
        <v>38.888888888888893</v>
      </c>
      <c r="O268" s="57">
        <f>H268+H266+H264+H262+H260+H258+H256+H254+H252</f>
        <v>0.55555555555555558</v>
      </c>
      <c r="P268" s="58">
        <f>SUM(K268:O268)</f>
        <v>899.99999999999989</v>
      </c>
    </row>
    <row r="269" spans="1:16" x14ac:dyDescent="0.35">
      <c r="A269" s="38" t="s">
        <v>51</v>
      </c>
      <c r="B269" s="39"/>
      <c r="C269" s="40"/>
      <c r="D269" s="31">
        <f>85*5/360</f>
        <v>1.1805555555555556</v>
      </c>
      <c r="E269" s="31">
        <f>137*4/360</f>
        <v>1.5222222222222221</v>
      </c>
      <c r="F269" s="31">
        <f>122*3/360</f>
        <v>1.0166666666666666</v>
      </c>
      <c r="G269" s="31">
        <f>15*2/360</f>
        <v>8.3333333333333329E-2</v>
      </c>
      <c r="H269" s="31">
        <f>1*1/360</f>
        <v>2.7777777777777779E-3</v>
      </c>
      <c r="I269" s="88">
        <f t="shared" si="7"/>
        <v>3.8055555555555554</v>
      </c>
      <c r="J269" s="110"/>
      <c r="K269" s="59">
        <f>K268/9</f>
        <v>21.203703703703706</v>
      </c>
      <c r="L269" s="59">
        <f>L268/9</f>
        <v>38.858024691358025</v>
      </c>
      <c r="M269" s="59">
        <f>M268/9</f>
        <v>35.55555555555555</v>
      </c>
      <c r="N269" s="59">
        <f>N268/9</f>
        <v>4.3209876543209882</v>
      </c>
      <c r="O269" s="59">
        <f>O268/9</f>
        <v>6.1728395061728399E-2</v>
      </c>
      <c r="P269" s="58">
        <f>SUM(K269:O269)</f>
        <v>100.00000000000001</v>
      </c>
    </row>
    <row r="270" spans="1:16" x14ac:dyDescent="0.35">
      <c r="A270" s="103" t="s">
        <v>52</v>
      </c>
      <c r="B270" s="104"/>
      <c r="C270" s="105"/>
      <c r="D270" s="34">
        <f>K269</f>
        <v>21.203703703703706</v>
      </c>
      <c r="E270" s="34">
        <f>L269</f>
        <v>38.858024691358025</v>
      </c>
      <c r="F270" s="34">
        <f>M269</f>
        <v>35.55555555555555</v>
      </c>
      <c r="G270" s="34">
        <f>N269</f>
        <v>4.3209876543209882</v>
      </c>
      <c r="H270" s="34">
        <f>O269</f>
        <v>6.1728395061728399E-2</v>
      </c>
      <c r="I270" s="73">
        <f t="shared" si="7"/>
        <v>100</v>
      </c>
      <c r="J270" s="111" t="s">
        <v>30</v>
      </c>
      <c r="K270" s="60">
        <f>D269+D267+D265+D263+D261+D259+D257+D255+D253</f>
        <v>8.9861111111111107</v>
      </c>
      <c r="L270" s="60">
        <f>E269+E267+E265+E263+E261+E259+E257+E255+E253</f>
        <v>13.988888888888887</v>
      </c>
      <c r="M270" s="60">
        <f>F269+F267+F265+F263+F261+F259+F257+F255+F253</f>
        <v>9.6</v>
      </c>
      <c r="N270" s="60">
        <f>G269+G267+G265+G263+G261+G259+G257+G255+G253</f>
        <v>0.82222222222222208</v>
      </c>
      <c r="O270" s="60">
        <f>H269+H267+H265+H263+H261+H259+H257+H255+H253</f>
        <v>5.5555555555555558E-3</v>
      </c>
      <c r="P270" s="58">
        <f>K270+L270+M270+N270+O270</f>
        <v>33.402777777777771</v>
      </c>
    </row>
    <row r="271" spans="1:16" x14ac:dyDescent="0.35">
      <c r="A271" s="106"/>
      <c r="B271" s="107"/>
      <c r="C271" s="108"/>
      <c r="D271" s="70">
        <f>K271</f>
        <v>0.99845679012345678</v>
      </c>
      <c r="E271" s="70">
        <f>L271</f>
        <v>1.5543209876543207</v>
      </c>
      <c r="F271" s="70">
        <f>M271</f>
        <v>1.0666666666666667</v>
      </c>
      <c r="G271" s="70">
        <f>N271</f>
        <v>9.1358024691358009E-2</v>
      </c>
      <c r="H271" s="70">
        <f>O271</f>
        <v>6.1728395061728394E-4</v>
      </c>
      <c r="I271" s="78">
        <f t="shared" si="7"/>
        <v>3.7114197530864197</v>
      </c>
      <c r="J271" s="112"/>
      <c r="K271" s="61">
        <f>K270/9</f>
        <v>0.99845679012345678</v>
      </c>
      <c r="L271" s="61">
        <f>L270/9</f>
        <v>1.5543209876543207</v>
      </c>
      <c r="M271" s="61">
        <f>M270/9</f>
        <v>1.0666666666666667</v>
      </c>
      <c r="N271" s="61">
        <f>N270/9</f>
        <v>9.1358024691358009E-2</v>
      </c>
      <c r="O271" s="61">
        <f>O270/9</f>
        <v>6.1728395061728394E-4</v>
      </c>
      <c r="P271" s="58">
        <f>SUM(K271:O271)</f>
        <v>3.7114197530864197</v>
      </c>
    </row>
    <row r="272" spans="1:16" x14ac:dyDescent="0.35">
      <c r="A272" s="24"/>
      <c r="B272" s="24"/>
      <c r="C272" s="24"/>
      <c r="D272" s="25"/>
      <c r="E272" s="24"/>
      <c r="F272" s="24"/>
      <c r="G272" s="24"/>
      <c r="H272" s="24"/>
      <c r="I272" s="24"/>
      <c r="J272" s="24"/>
    </row>
    <row r="273" spans="1:10" x14ac:dyDescent="0.35">
      <c r="A273" s="4"/>
      <c r="B273" s="1" t="s">
        <v>108</v>
      </c>
      <c r="C273" s="4"/>
      <c r="D273" s="4"/>
      <c r="E273" s="4"/>
      <c r="F273" s="4"/>
      <c r="G273" s="4"/>
      <c r="H273" s="4"/>
      <c r="I273" s="4"/>
      <c r="J273" s="4"/>
    </row>
    <row r="274" spans="1:10" x14ac:dyDescent="0.35">
      <c r="A274" s="4" t="s">
        <v>110</v>
      </c>
      <c r="B274" s="4"/>
      <c r="C274" s="4"/>
      <c r="D274" s="4"/>
      <c r="E274" s="4"/>
      <c r="F274" s="4"/>
      <c r="G274" s="4"/>
      <c r="H274" s="4"/>
      <c r="I274" s="4"/>
      <c r="J274" s="4"/>
    </row>
    <row r="275" spans="1:10" x14ac:dyDescent="0.35">
      <c r="A275" s="4"/>
      <c r="B275" s="1" t="s">
        <v>113</v>
      </c>
      <c r="C275" s="4"/>
      <c r="D275" s="4"/>
      <c r="E275" s="4"/>
      <c r="F275" s="4"/>
      <c r="G275" s="4"/>
      <c r="H275" s="4"/>
      <c r="I275" s="4"/>
      <c r="J275" s="4"/>
    </row>
    <row r="276" spans="1:10" x14ac:dyDescent="0.35">
      <c r="A276" s="4" t="s">
        <v>119</v>
      </c>
      <c r="B276" s="4"/>
      <c r="C276" s="4"/>
      <c r="D276" s="4"/>
      <c r="E276" s="4"/>
      <c r="F276" s="4"/>
      <c r="G276" s="4"/>
      <c r="H276" s="4"/>
      <c r="I276" s="4"/>
      <c r="J276" s="4"/>
    </row>
    <row r="277" spans="1:10" x14ac:dyDescent="0.35">
      <c r="A277" s="4" t="s">
        <v>170</v>
      </c>
      <c r="B277" s="4"/>
      <c r="C277" s="4"/>
      <c r="D277" s="4"/>
      <c r="E277" s="4"/>
      <c r="F277" s="4"/>
      <c r="G277" s="4"/>
      <c r="H277" s="4"/>
      <c r="I277" s="4"/>
      <c r="J277" s="4"/>
    </row>
    <row r="278" spans="1:10" x14ac:dyDescent="0.35">
      <c r="A278" s="4" t="s">
        <v>172</v>
      </c>
      <c r="B278" s="4"/>
      <c r="C278" s="4"/>
      <c r="D278" s="4"/>
      <c r="E278" s="4"/>
      <c r="F278" s="4"/>
      <c r="G278" s="4"/>
      <c r="H278" s="4"/>
      <c r="I278" s="4"/>
      <c r="J278" s="4"/>
    </row>
    <row r="279" spans="1:10" x14ac:dyDescent="0.35">
      <c r="A279" s="4" t="s">
        <v>171</v>
      </c>
      <c r="B279" s="4"/>
      <c r="C279" s="4"/>
      <c r="D279" s="4"/>
      <c r="E279" s="4"/>
      <c r="F279" s="4"/>
      <c r="G279" s="4"/>
      <c r="H279" s="4"/>
      <c r="I279" s="4"/>
      <c r="J279" s="4"/>
    </row>
    <row r="280" spans="1:10" x14ac:dyDescent="0.35">
      <c r="A280" s="4" t="s">
        <v>173</v>
      </c>
      <c r="B280" s="4"/>
      <c r="C280" s="4"/>
      <c r="D280" s="4"/>
      <c r="E280" s="4"/>
      <c r="F280" s="4"/>
      <c r="G280" s="4"/>
      <c r="H280" s="4"/>
      <c r="I280" s="4"/>
      <c r="J280" s="4"/>
    </row>
    <row r="281" spans="1:10" x14ac:dyDescent="0.35">
      <c r="A281" s="4" t="s">
        <v>169</v>
      </c>
      <c r="B281" s="4"/>
      <c r="C281" s="4"/>
      <c r="D281" s="4"/>
      <c r="E281" s="4"/>
      <c r="F281" s="4"/>
      <c r="G281" s="4"/>
      <c r="H281" s="4"/>
      <c r="I281" s="4"/>
      <c r="J281" s="4"/>
    </row>
    <row r="282" spans="1:10" x14ac:dyDescent="0.35">
      <c r="A282" s="4"/>
      <c r="B282" s="4" t="s">
        <v>182</v>
      </c>
      <c r="C282" s="4"/>
      <c r="D282" s="4"/>
      <c r="E282" s="4"/>
      <c r="F282" s="4"/>
      <c r="G282" s="4"/>
      <c r="H282" s="4"/>
      <c r="I282" s="4"/>
      <c r="J282" s="4"/>
    </row>
    <row r="283" spans="1:10" x14ac:dyDescent="0.35">
      <c r="A283" s="4" t="s">
        <v>183</v>
      </c>
      <c r="B283" s="4"/>
      <c r="C283" s="4"/>
      <c r="D283" s="4"/>
      <c r="E283" s="4"/>
      <c r="F283" s="4"/>
      <c r="G283" s="4"/>
      <c r="H283" s="4"/>
      <c r="I283" s="4"/>
      <c r="J283" s="4"/>
    </row>
    <row r="284" spans="1:10" x14ac:dyDescent="0.35">
      <c r="A284" s="4"/>
      <c r="B284" s="4"/>
      <c r="C284" s="4"/>
      <c r="D284" s="4"/>
      <c r="E284" s="4"/>
      <c r="F284" s="4"/>
      <c r="G284" s="4" t="s">
        <v>53</v>
      </c>
      <c r="H284" s="4"/>
      <c r="I284" s="4"/>
      <c r="J284" s="4"/>
    </row>
  </sheetData>
  <mergeCells count="92">
    <mergeCell ref="A198:J198"/>
    <mergeCell ref="A270:C271"/>
    <mergeCell ref="J270:J271"/>
    <mergeCell ref="A250:C251"/>
    <mergeCell ref="I250:I251"/>
    <mergeCell ref="J252:J253"/>
    <mergeCell ref="J254:J255"/>
    <mergeCell ref="J256:J257"/>
    <mergeCell ref="J258:J259"/>
    <mergeCell ref="J260:J261"/>
    <mergeCell ref="J262:J263"/>
    <mergeCell ref="J264:J265"/>
    <mergeCell ref="J266:J267"/>
    <mergeCell ref="J268:J269"/>
    <mergeCell ref="A230:C231"/>
    <mergeCell ref="J230:J231"/>
    <mergeCell ref="J222:J223"/>
    <mergeCell ref="J224:J225"/>
    <mergeCell ref="J226:J227"/>
    <mergeCell ref="A210:C211"/>
    <mergeCell ref="I210:I211"/>
    <mergeCell ref="J212:J213"/>
    <mergeCell ref="J214:J215"/>
    <mergeCell ref="J216:J217"/>
    <mergeCell ref="J228:J229"/>
    <mergeCell ref="A188:C189"/>
    <mergeCell ref="J188:J189"/>
    <mergeCell ref="A168:C169"/>
    <mergeCell ref="I168:I169"/>
    <mergeCell ref="J170:J171"/>
    <mergeCell ref="J172:J173"/>
    <mergeCell ref="J174:J175"/>
    <mergeCell ref="J176:J177"/>
    <mergeCell ref="J178:J179"/>
    <mergeCell ref="J180:J181"/>
    <mergeCell ref="J182:J183"/>
    <mergeCell ref="J184:J185"/>
    <mergeCell ref="J186:J187"/>
    <mergeCell ref="J218:J219"/>
    <mergeCell ref="J220:J221"/>
    <mergeCell ref="A148:C149"/>
    <mergeCell ref="J148:J149"/>
    <mergeCell ref="A128:C129"/>
    <mergeCell ref="I128:I129"/>
    <mergeCell ref="J130:J131"/>
    <mergeCell ref="J132:J133"/>
    <mergeCell ref="J134:J135"/>
    <mergeCell ref="J136:J137"/>
    <mergeCell ref="J138:J139"/>
    <mergeCell ref="J140:J141"/>
    <mergeCell ref="J142:J143"/>
    <mergeCell ref="J144:J145"/>
    <mergeCell ref="J146:J147"/>
    <mergeCell ref="A108:C109"/>
    <mergeCell ref="J108:J109"/>
    <mergeCell ref="A88:C89"/>
    <mergeCell ref="I88:I89"/>
    <mergeCell ref="J90:J91"/>
    <mergeCell ref="J92:J93"/>
    <mergeCell ref="J94:J95"/>
    <mergeCell ref="J96:J97"/>
    <mergeCell ref="J98:J99"/>
    <mergeCell ref="J100:J101"/>
    <mergeCell ref="J102:J103"/>
    <mergeCell ref="J104:J105"/>
    <mergeCell ref="J106:J107"/>
    <mergeCell ref="A68:C69"/>
    <mergeCell ref="J68:J69"/>
    <mergeCell ref="A48:C49"/>
    <mergeCell ref="I48:I49"/>
    <mergeCell ref="J50:J51"/>
    <mergeCell ref="J52:J53"/>
    <mergeCell ref="J54:J55"/>
    <mergeCell ref="J56:J57"/>
    <mergeCell ref="J58:J59"/>
    <mergeCell ref="J60:J61"/>
    <mergeCell ref="J62:J63"/>
    <mergeCell ref="J64:J65"/>
    <mergeCell ref="J66:J67"/>
    <mergeCell ref="A29:C30"/>
    <mergeCell ref="J29:J30"/>
    <mergeCell ref="A9:C10"/>
    <mergeCell ref="I9:I10"/>
    <mergeCell ref="J11:J12"/>
    <mergeCell ref="J13:J14"/>
    <mergeCell ref="J15:J16"/>
    <mergeCell ref="J17:J18"/>
    <mergeCell ref="J19:J20"/>
    <mergeCell ref="J21:J22"/>
    <mergeCell ref="J23:J24"/>
    <mergeCell ref="J25:J26"/>
    <mergeCell ref="J27:J28"/>
  </mergeCells>
  <pageMargins left="0.78740157480314965" right="0.31496062992125984" top="0.39370078740157483" bottom="0.39370078740157483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topLeftCell="A7" workbookViewId="0">
      <selection activeCell="A11" sqref="A11"/>
    </sheetView>
  </sheetViews>
  <sheetFormatPr defaultRowHeight="21" x14ac:dyDescent="0.35"/>
  <cols>
    <col min="1" max="3" width="13.125" customWidth="1"/>
    <col min="4" max="12" width="10.625" customWidth="1"/>
  </cols>
  <sheetData>
    <row r="1" spans="1:12" x14ac:dyDescent="0.35">
      <c r="A1" s="114" t="s">
        <v>91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</row>
    <row r="2" spans="1:12" x14ac:dyDescent="0.35">
      <c r="A2" s="114"/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</row>
    <row r="3" spans="1:12" ht="18.95" customHeight="1" x14ac:dyDescent="0.35">
      <c r="A3" s="48"/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</row>
    <row r="4" spans="1:12" x14ac:dyDescent="0.35">
      <c r="A4" s="124" t="s">
        <v>25</v>
      </c>
      <c r="B4" s="125"/>
      <c r="C4" s="126"/>
      <c r="D4" s="49" t="s">
        <v>92</v>
      </c>
      <c r="E4" s="49" t="s">
        <v>92</v>
      </c>
      <c r="F4" s="49" t="s">
        <v>92</v>
      </c>
      <c r="G4" s="49" t="s">
        <v>92</v>
      </c>
      <c r="H4" s="49" t="s">
        <v>92</v>
      </c>
      <c r="I4" s="49" t="s">
        <v>92</v>
      </c>
      <c r="J4" s="49" t="s">
        <v>92</v>
      </c>
      <c r="K4" s="130" t="s">
        <v>28</v>
      </c>
      <c r="L4" s="49" t="s">
        <v>26</v>
      </c>
    </row>
    <row r="5" spans="1:12" x14ac:dyDescent="0.35">
      <c r="A5" s="127"/>
      <c r="B5" s="128"/>
      <c r="C5" s="129"/>
      <c r="D5" s="50">
        <v>1</v>
      </c>
      <c r="E5" s="50">
        <v>2</v>
      </c>
      <c r="F5" s="50">
        <v>3</v>
      </c>
      <c r="G5" s="50">
        <v>4</v>
      </c>
      <c r="H5" s="50">
        <v>5</v>
      </c>
      <c r="I5" s="50">
        <v>6</v>
      </c>
      <c r="J5" s="50">
        <v>7</v>
      </c>
      <c r="K5" s="131"/>
      <c r="L5" s="50" t="s">
        <v>27</v>
      </c>
    </row>
    <row r="6" spans="1:12" x14ac:dyDescent="0.35">
      <c r="A6" s="35" t="s">
        <v>94</v>
      </c>
      <c r="B6" s="51"/>
      <c r="C6" s="52"/>
      <c r="D6" s="117">
        <v>3.74</v>
      </c>
      <c r="E6" s="117">
        <v>3.74</v>
      </c>
      <c r="F6" s="117">
        <v>3.73</v>
      </c>
      <c r="G6" s="117">
        <v>3.76</v>
      </c>
      <c r="H6" s="117">
        <v>3.72</v>
      </c>
      <c r="I6" s="117">
        <v>3.73</v>
      </c>
      <c r="J6" s="117">
        <v>3.73</v>
      </c>
      <c r="K6" s="115">
        <f>SUM(D6:J6)/7</f>
        <v>3.7357142857142862</v>
      </c>
      <c r="L6" s="109" t="s">
        <v>30</v>
      </c>
    </row>
    <row r="7" spans="1:12" x14ac:dyDescent="0.35">
      <c r="A7" s="53" t="s">
        <v>93</v>
      </c>
      <c r="B7" s="54"/>
      <c r="C7" s="55"/>
      <c r="D7" s="118"/>
      <c r="E7" s="118"/>
      <c r="F7" s="118"/>
      <c r="G7" s="118"/>
      <c r="H7" s="118"/>
      <c r="I7" s="118"/>
      <c r="J7" s="118"/>
      <c r="K7" s="116"/>
      <c r="L7" s="110"/>
    </row>
    <row r="8" spans="1:12" x14ac:dyDescent="0.35">
      <c r="A8" s="41" t="s">
        <v>95</v>
      </c>
      <c r="B8" s="4"/>
      <c r="C8" s="56"/>
      <c r="D8" s="117">
        <v>3.72</v>
      </c>
      <c r="E8" s="117">
        <v>3.72</v>
      </c>
      <c r="F8" s="117">
        <v>3.71</v>
      </c>
      <c r="G8" s="117">
        <v>3.77</v>
      </c>
      <c r="H8" s="117">
        <v>3.72</v>
      </c>
      <c r="I8" s="117">
        <v>3.72</v>
      </c>
      <c r="J8" s="117">
        <v>3.75</v>
      </c>
      <c r="K8" s="115">
        <f>SUM(D8:J9)/7</f>
        <v>3.73</v>
      </c>
      <c r="L8" s="109" t="s">
        <v>30</v>
      </c>
    </row>
    <row r="9" spans="1:12" x14ac:dyDescent="0.35">
      <c r="A9" s="53" t="s">
        <v>93</v>
      </c>
      <c r="B9" s="54"/>
      <c r="C9" s="55"/>
      <c r="D9" s="118"/>
      <c r="E9" s="118"/>
      <c r="F9" s="118"/>
      <c r="G9" s="118"/>
      <c r="H9" s="118"/>
      <c r="I9" s="118"/>
      <c r="J9" s="118"/>
      <c r="K9" s="116"/>
      <c r="L9" s="110"/>
    </row>
    <row r="10" spans="1:12" x14ac:dyDescent="0.35">
      <c r="A10" s="41" t="s">
        <v>96</v>
      </c>
      <c r="B10" s="4"/>
      <c r="C10" s="56"/>
      <c r="D10" s="117">
        <v>3.68</v>
      </c>
      <c r="E10" s="117">
        <v>3.7</v>
      </c>
      <c r="F10" s="117">
        <v>3.68</v>
      </c>
      <c r="G10" s="117">
        <v>3.75</v>
      </c>
      <c r="H10" s="117">
        <v>3.71</v>
      </c>
      <c r="I10" s="117">
        <v>3.68</v>
      </c>
      <c r="J10" s="117">
        <v>3.71</v>
      </c>
      <c r="K10" s="115">
        <f>SUM(D10:J11)/7</f>
        <v>3.7014285714285715</v>
      </c>
      <c r="L10" s="109" t="s">
        <v>30</v>
      </c>
    </row>
    <row r="11" spans="1:12" x14ac:dyDescent="0.35">
      <c r="A11" s="53" t="s">
        <v>43</v>
      </c>
      <c r="B11" s="54"/>
      <c r="C11" s="55"/>
      <c r="D11" s="118"/>
      <c r="E11" s="118"/>
      <c r="F11" s="118"/>
      <c r="G11" s="118"/>
      <c r="H11" s="118"/>
      <c r="I11" s="118"/>
      <c r="J11" s="118"/>
      <c r="K11" s="116"/>
      <c r="L11" s="110"/>
    </row>
    <row r="12" spans="1:12" x14ac:dyDescent="0.35">
      <c r="A12" s="41" t="s">
        <v>97</v>
      </c>
      <c r="B12" s="4"/>
      <c r="C12" s="56"/>
      <c r="D12" s="117">
        <v>3.76</v>
      </c>
      <c r="E12" s="117">
        <v>3.75</v>
      </c>
      <c r="F12" s="117">
        <v>3.73</v>
      </c>
      <c r="G12" s="117">
        <v>3.78</v>
      </c>
      <c r="H12" s="117">
        <v>3.73</v>
      </c>
      <c r="I12" s="117">
        <v>3.73</v>
      </c>
      <c r="J12" s="117">
        <v>3.77</v>
      </c>
      <c r="K12" s="115">
        <f>SUM(D12:J13)/7</f>
        <v>3.75</v>
      </c>
      <c r="L12" s="109" t="s">
        <v>30</v>
      </c>
    </row>
    <row r="13" spans="1:12" x14ac:dyDescent="0.35">
      <c r="A13" s="53" t="s">
        <v>93</v>
      </c>
      <c r="B13" s="54"/>
      <c r="C13" s="55"/>
      <c r="D13" s="118"/>
      <c r="E13" s="118"/>
      <c r="F13" s="118"/>
      <c r="G13" s="118"/>
      <c r="H13" s="118"/>
      <c r="I13" s="118"/>
      <c r="J13" s="118"/>
      <c r="K13" s="116"/>
      <c r="L13" s="110"/>
    </row>
    <row r="14" spans="1:12" x14ac:dyDescent="0.35">
      <c r="A14" s="41" t="s">
        <v>98</v>
      </c>
      <c r="B14" s="4"/>
      <c r="C14" s="56"/>
      <c r="D14" s="117">
        <v>3.8</v>
      </c>
      <c r="E14" s="117">
        <v>3.8</v>
      </c>
      <c r="F14" s="117">
        <v>3.78</v>
      </c>
      <c r="G14" s="117">
        <v>3.83</v>
      </c>
      <c r="H14" s="117">
        <v>3.79</v>
      </c>
      <c r="I14" s="117">
        <v>3.78</v>
      </c>
      <c r="J14" s="117">
        <v>3.24</v>
      </c>
      <c r="K14" s="115">
        <f>SUM(D14:J15)/7</f>
        <v>3.7171428571428575</v>
      </c>
      <c r="L14" s="109" t="s">
        <v>30</v>
      </c>
    </row>
    <row r="15" spans="1:12" x14ac:dyDescent="0.35">
      <c r="A15" s="53"/>
      <c r="B15" s="54"/>
      <c r="C15" s="55"/>
      <c r="D15" s="118"/>
      <c r="E15" s="118"/>
      <c r="F15" s="118"/>
      <c r="G15" s="118"/>
      <c r="H15" s="118"/>
      <c r="I15" s="118"/>
      <c r="J15" s="118"/>
      <c r="K15" s="116"/>
      <c r="L15" s="110"/>
    </row>
    <row r="16" spans="1:12" x14ac:dyDescent="0.35">
      <c r="A16" s="41" t="s">
        <v>101</v>
      </c>
      <c r="B16" s="4"/>
      <c r="C16" s="56"/>
      <c r="D16" s="117">
        <v>3.78</v>
      </c>
      <c r="E16" s="117">
        <v>3.77</v>
      </c>
      <c r="F16" s="117">
        <v>3.85</v>
      </c>
      <c r="G16" s="117">
        <v>3.81</v>
      </c>
      <c r="H16" s="117">
        <v>3.78</v>
      </c>
      <c r="I16" s="117">
        <v>3.76</v>
      </c>
      <c r="J16" s="117">
        <v>3.76</v>
      </c>
      <c r="K16" s="115">
        <f>SUM(D16:J17)/7</f>
        <v>3.7871428571428569</v>
      </c>
      <c r="L16" s="109" t="s">
        <v>30</v>
      </c>
    </row>
    <row r="17" spans="1:12" x14ac:dyDescent="0.35">
      <c r="A17" s="53"/>
      <c r="B17" s="54"/>
      <c r="C17" s="55"/>
      <c r="D17" s="118"/>
      <c r="E17" s="118"/>
      <c r="F17" s="118"/>
      <c r="G17" s="118"/>
      <c r="H17" s="118"/>
      <c r="I17" s="118"/>
      <c r="J17" s="118"/>
      <c r="K17" s="116"/>
      <c r="L17" s="110"/>
    </row>
    <row r="18" spans="1:12" x14ac:dyDescent="0.35">
      <c r="A18" s="41" t="s">
        <v>100</v>
      </c>
      <c r="B18" s="4"/>
      <c r="C18" s="56"/>
      <c r="D18" s="117">
        <v>3.84</v>
      </c>
      <c r="E18" s="117">
        <v>3.83</v>
      </c>
      <c r="F18" s="117">
        <v>3.81</v>
      </c>
      <c r="G18" s="117">
        <v>3.87</v>
      </c>
      <c r="H18" s="117">
        <v>3.82</v>
      </c>
      <c r="I18" s="117">
        <v>3.82</v>
      </c>
      <c r="J18" s="117">
        <v>3.81</v>
      </c>
      <c r="K18" s="115">
        <f>SUM(D18:J19)/7</f>
        <v>3.8285714285714287</v>
      </c>
      <c r="L18" s="109" t="s">
        <v>30</v>
      </c>
    </row>
    <row r="19" spans="1:12" x14ac:dyDescent="0.35">
      <c r="A19" s="53" t="s">
        <v>99</v>
      </c>
      <c r="B19" s="54"/>
      <c r="C19" s="55"/>
      <c r="D19" s="118"/>
      <c r="E19" s="118"/>
      <c r="F19" s="118"/>
      <c r="G19" s="118"/>
      <c r="H19" s="118"/>
      <c r="I19" s="118"/>
      <c r="J19" s="118"/>
      <c r="K19" s="116"/>
      <c r="L19" s="110"/>
    </row>
    <row r="20" spans="1:12" x14ac:dyDescent="0.35">
      <c r="A20" s="41" t="s">
        <v>103</v>
      </c>
      <c r="B20" s="4"/>
      <c r="C20" s="56"/>
      <c r="D20" s="117">
        <v>3.83</v>
      </c>
      <c r="E20" s="117">
        <v>3.85</v>
      </c>
      <c r="F20" s="117">
        <v>3.79</v>
      </c>
      <c r="G20" s="117">
        <v>3.84</v>
      </c>
      <c r="H20" s="117">
        <v>3.81</v>
      </c>
      <c r="I20" s="117">
        <v>3.79</v>
      </c>
      <c r="J20" s="117">
        <v>3.82</v>
      </c>
      <c r="K20" s="115">
        <f>SUM(D20:J21)/7</f>
        <v>3.8185714285714281</v>
      </c>
      <c r="L20" s="109" t="s">
        <v>30</v>
      </c>
    </row>
    <row r="21" spans="1:12" x14ac:dyDescent="0.35">
      <c r="A21" s="53" t="s">
        <v>102</v>
      </c>
      <c r="B21" s="54"/>
      <c r="C21" s="55"/>
      <c r="D21" s="118"/>
      <c r="E21" s="118"/>
      <c r="F21" s="118"/>
      <c r="G21" s="118"/>
      <c r="H21" s="118"/>
      <c r="I21" s="118"/>
      <c r="J21" s="118"/>
      <c r="K21" s="116"/>
      <c r="L21" s="110"/>
    </row>
    <row r="22" spans="1:12" x14ac:dyDescent="0.35">
      <c r="A22" s="41" t="s">
        <v>104</v>
      </c>
      <c r="B22" s="4"/>
      <c r="C22" s="56"/>
      <c r="D22" s="117">
        <v>3.83</v>
      </c>
      <c r="E22" s="117">
        <v>3.84</v>
      </c>
      <c r="F22" s="117">
        <v>3.79</v>
      </c>
      <c r="G22" s="117">
        <v>3.85</v>
      </c>
      <c r="H22" s="117">
        <v>3.81</v>
      </c>
      <c r="I22" s="117">
        <v>3.79</v>
      </c>
      <c r="J22" s="117">
        <v>3.81</v>
      </c>
      <c r="K22" s="115">
        <f>SUM(D22:J23)/7</f>
        <v>3.8171428571428572</v>
      </c>
      <c r="L22" s="109" t="s">
        <v>30</v>
      </c>
    </row>
    <row r="23" spans="1:12" ht="21.75" thickBot="1" x14ac:dyDescent="0.4">
      <c r="A23" s="41" t="s">
        <v>43</v>
      </c>
      <c r="B23" s="4"/>
      <c r="C23" s="56"/>
      <c r="D23" s="132"/>
      <c r="E23" s="132"/>
      <c r="F23" s="132"/>
      <c r="G23" s="132"/>
      <c r="H23" s="132"/>
      <c r="I23" s="132"/>
      <c r="J23" s="132"/>
      <c r="K23" s="133"/>
      <c r="L23" s="119"/>
    </row>
    <row r="24" spans="1:12" ht="15" customHeight="1" x14ac:dyDescent="0.35">
      <c r="A24" s="120" t="s">
        <v>52</v>
      </c>
      <c r="B24" s="120"/>
      <c r="C24" s="120"/>
      <c r="D24" s="134">
        <f t="shared" ref="D24:K24" si="0">SUM(D6:D22)/9</f>
        <v>3.7755555555555551</v>
      </c>
      <c r="E24" s="134">
        <f t="shared" si="0"/>
        <v>3.7777777777777777</v>
      </c>
      <c r="F24" s="134">
        <f t="shared" si="0"/>
        <v>3.7633333333333332</v>
      </c>
      <c r="G24" s="134">
        <f t="shared" si="0"/>
        <v>3.8066666666666666</v>
      </c>
      <c r="H24" s="134">
        <f t="shared" si="0"/>
        <v>3.7655555555555558</v>
      </c>
      <c r="I24" s="134">
        <f t="shared" si="0"/>
        <v>3.7555555555555551</v>
      </c>
      <c r="J24" s="134">
        <f t="shared" si="0"/>
        <v>3.7111111111111108</v>
      </c>
      <c r="K24" s="136">
        <f t="shared" si="0"/>
        <v>3.765079365079365</v>
      </c>
      <c r="L24" s="122" t="s">
        <v>30</v>
      </c>
    </row>
    <row r="25" spans="1:12" ht="15" customHeight="1" thickBot="1" x14ac:dyDescent="0.4">
      <c r="A25" s="121"/>
      <c r="B25" s="121"/>
      <c r="C25" s="121"/>
      <c r="D25" s="135"/>
      <c r="E25" s="135"/>
      <c r="F25" s="135"/>
      <c r="G25" s="135"/>
      <c r="H25" s="135"/>
      <c r="I25" s="135"/>
      <c r="J25" s="135"/>
      <c r="K25" s="137"/>
      <c r="L25" s="123"/>
    </row>
    <row r="26" spans="1:12" ht="37.5" customHeight="1" x14ac:dyDescent="0.35">
      <c r="K26" s="58"/>
      <c r="L26" s="62">
        <v>109</v>
      </c>
    </row>
  </sheetData>
  <mergeCells count="94">
    <mergeCell ref="I22:I23"/>
    <mergeCell ref="J22:J23"/>
    <mergeCell ref="K22:K23"/>
    <mergeCell ref="D24:D25"/>
    <mergeCell ref="E24:E25"/>
    <mergeCell ref="F24:F25"/>
    <mergeCell ref="G24:G25"/>
    <mergeCell ref="H24:H25"/>
    <mergeCell ref="I24:I25"/>
    <mergeCell ref="J24:J25"/>
    <mergeCell ref="K24:K25"/>
    <mergeCell ref="D22:D23"/>
    <mergeCell ref="E22:E23"/>
    <mergeCell ref="F22:F23"/>
    <mergeCell ref="G22:G23"/>
    <mergeCell ref="H22:H23"/>
    <mergeCell ref="I18:I19"/>
    <mergeCell ref="J18:J19"/>
    <mergeCell ref="K18:K19"/>
    <mergeCell ref="D20:D21"/>
    <mergeCell ref="E20:E21"/>
    <mergeCell ref="F20:F21"/>
    <mergeCell ref="G20:G21"/>
    <mergeCell ref="H20:H21"/>
    <mergeCell ref="I20:I21"/>
    <mergeCell ref="J20:J21"/>
    <mergeCell ref="K20:K21"/>
    <mergeCell ref="D18:D19"/>
    <mergeCell ref="E18:E19"/>
    <mergeCell ref="F18:F19"/>
    <mergeCell ref="G18:G19"/>
    <mergeCell ref="H18:H19"/>
    <mergeCell ref="I14:I15"/>
    <mergeCell ref="J14:J15"/>
    <mergeCell ref="K14:K15"/>
    <mergeCell ref="D16:D17"/>
    <mergeCell ref="E16:E17"/>
    <mergeCell ref="F16:F17"/>
    <mergeCell ref="G16:G17"/>
    <mergeCell ref="H16:H17"/>
    <mergeCell ref="I16:I17"/>
    <mergeCell ref="J16:J17"/>
    <mergeCell ref="K16:K17"/>
    <mergeCell ref="D14:D15"/>
    <mergeCell ref="E14:E15"/>
    <mergeCell ref="F14:F15"/>
    <mergeCell ref="G14:G15"/>
    <mergeCell ref="H14:H15"/>
    <mergeCell ref="K10:K11"/>
    <mergeCell ref="D12:D13"/>
    <mergeCell ref="E12:E13"/>
    <mergeCell ref="F12:F13"/>
    <mergeCell ref="G12:G13"/>
    <mergeCell ref="H12:H13"/>
    <mergeCell ref="I12:I13"/>
    <mergeCell ref="J12:J13"/>
    <mergeCell ref="K12:K13"/>
    <mergeCell ref="F10:F11"/>
    <mergeCell ref="G10:G11"/>
    <mergeCell ref="H10:H11"/>
    <mergeCell ref="I10:I11"/>
    <mergeCell ref="J10:J11"/>
    <mergeCell ref="L22:L23"/>
    <mergeCell ref="A24:C25"/>
    <mergeCell ref="L24:L25"/>
    <mergeCell ref="A4:C5"/>
    <mergeCell ref="K4:K5"/>
    <mergeCell ref="L6:L7"/>
    <mergeCell ref="L8:L9"/>
    <mergeCell ref="L10:L11"/>
    <mergeCell ref="L12:L13"/>
    <mergeCell ref="D6:D7"/>
    <mergeCell ref="E6:E7"/>
    <mergeCell ref="F6:F7"/>
    <mergeCell ref="G6:G7"/>
    <mergeCell ref="H6:H7"/>
    <mergeCell ref="I6:I7"/>
    <mergeCell ref="J6:J7"/>
    <mergeCell ref="A1:L2"/>
    <mergeCell ref="L14:L15"/>
    <mergeCell ref="L16:L17"/>
    <mergeCell ref="L18:L19"/>
    <mergeCell ref="L20:L21"/>
    <mergeCell ref="K6:K7"/>
    <mergeCell ref="D8:D9"/>
    <mergeCell ref="E8:E9"/>
    <mergeCell ref="F8:F9"/>
    <mergeCell ref="G8:G9"/>
    <mergeCell ref="H8:H9"/>
    <mergeCell ref="I8:I9"/>
    <mergeCell ref="J8:J9"/>
    <mergeCell ref="K8:K9"/>
    <mergeCell ref="D10:D11"/>
    <mergeCell ref="E10:E11"/>
  </mergeCells>
  <pageMargins left="0.39370078740157483" right="0.39370078740157483" top="0.74803149606299213" bottom="0.39370078740157483" header="0.31496062992125984" footer="0.31496062992125984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9"/>
  <sheetViews>
    <sheetView tabSelected="1" workbookViewId="0">
      <selection activeCell="I1" sqref="I1"/>
    </sheetView>
  </sheetViews>
  <sheetFormatPr defaultRowHeight="21" x14ac:dyDescent="0.35"/>
  <sheetData>
    <row r="1" spans="1:9" x14ac:dyDescent="0.35">
      <c r="I1" s="1">
        <v>110</v>
      </c>
    </row>
    <row r="3" spans="1:9" x14ac:dyDescent="0.35">
      <c r="A3" s="1"/>
      <c r="B3" s="1" t="s">
        <v>105</v>
      </c>
      <c r="C3" s="1"/>
      <c r="D3" s="1"/>
      <c r="E3" s="1"/>
      <c r="F3" s="1"/>
      <c r="G3" s="1"/>
      <c r="H3" s="1"/>
      <c r="I3" s="1"/>
    </row>
    <row r="4" spans="1:9" x14ac:dyDescent="0.35">
      <c r="A4" s="1" t="s">
        <v>179</v>
      </c>
      <c r="B4" s="1"/>
      <c r="C4" s="1"/>
      <c r="D4" s="1"/>
      <c r="E4" s="1"/>
      <c r="F4" s="1"/>
      <c r="G4" s="1"/>
      <c r="H4" s="1"/>
      <c r="I4" s="1"/>
    </row>
    <row r="5" spans="1:9" x14ac:dyDescent="0.35">
      <c r="A5" s="1" t="s">
        <v>174</v>
      </c>
      <c r="B5" s="1"/>
      <c r="C5" s="1"/>
      <c r="D5" s="1"/>
      <c r="E5" s="1"/>
      <c r="F5" s="1"/>
      <c r="G5" s="1"/>
      <c r="H5" s="1"/>
      <c r="I5" s="1"/>
    </row>
    <row r="6" spans="1:9" x14ac:dyDescent="0.35">
      <c r="A6" s="1"/>
      <c r="B6" s="1"/>
      <c r="C6" s="1"/>
      <c r="D6" s="1"/>
      <c r="E6" s="1"/>
      <c r="F6" s="1"/>
      <c r="G6" s="1"/>
      <c r="H6" s="1"/>
      <c r="I6" s="1"/>
    </row>
    <row r="7" spans="1:9" x14ac:dyDescent="0.35">
      <c r="A7" s="1"/>
      <c r="B7" s="1" t="s">
        <v>176</v>
      </c>
      <c r="C7" s="1"/>
      <c r="D7" s="1"/>
      <c r="E7" s="1"/>
      <c r="F7" s="1"/>
      <c r="G7" s="1"/>
      <c r="H7" s="1"/>
      <c r="I7" s="1"/>
    </row>
    <row r="8" spans="1:9" x14ac:dyDescent="0.35">
      <c r="A8" s="1" t="s">
        <v>177</v>
      </c>
      <c r="B8" s="1"/>
      <c r="C8" s="1"/>
      <c r="D8" s="1"/>
      <c r="E8" s="1"/>
      <c r="F8" s="1"/>
      <c r="G8" s="1"/>
      <c r="H8" s="1"/>
      <c r="I8" s="1"/>
    </row>
    <row r="9" spans="1:9" x14ac:dyDescent="0.35">
      <c r="A9" s="1" t="s">
        <v>178</v>
      </c>
      <c r="B9" s="1"/>
      <c r="C9" s="1"/>
      <c r="D9" s="1"/>
      <c r="E9" s="1"/>
      <c r="F9" s="1"/>
      <c r="G9" s="1"/>
      <c r="H9" s="1"/>
      <c r="I9" s="1"/>
    </row>
    <row r="10" spans="1:9" x14ac:dyDescent="0.35">
      <c r="A10" s="1"/>
      <c r="B10" s="1"/>
      <c r="C10" s="1"/>
      <c r="D10" s="1"/>
      <c r="E10" s="1"/>
      <c r="F10" s="1"/>
      <c r="G10" s="1"/>
      <c r="H10" s="1"/>
      <c r="I10" s="1"/>
    </row>
    <row r="11" spans="1:9" x14ac:dyDescent="0.35">
      <c r="A11" s="1"/>
      <c r="B11" s="1" t="s">
        <v>175</v>
      </c>
      <c r="C11" s="1"/>
      <c r="D11" s="1"/>
      <c r="E11" s="1"/>
      <c r="F11" s="1"/>
      <c r="G11" s="1"/>
      <c r="H11" s="1"/>
      <c r="I11" s="1"/>
    </row>
    <row r="12" spans="1:9" x14ac:dyDescent="0.35">
      <c r="A12" s="1" t="s">
        <v>180</v>
      </c>
      <c r="B12" s="1"/>
      <c r="C12" s="1"/>
      <c r="D12" s="1"/>
      <c r="E12" s="1"/>
      <c r="F12" s="1"/>
      <c r="G12" s="1"/>
      <c r="H12" s="1"/>
      <c r="I12" s="1"/>
    </row>
    <row r="13" spans="1:9" x14ac:dyDescent="0.35">
      <c r="A13" s="1"/>
      <c r="B13" s="1"/>
      <c r="C13" s="1"/>
      <c r="D13" s="1"/>
      <c r="E13" s="1"/>
      <c r="F13" s="1"/>
      <c r="G13" s="1"/>
      <c r="H13" s="1"/>
      <c r="I13" s="1"/>
    </row>
    <row r="14" spans="1:9" x14ac:dyDescent="0.35">
      <c r="A14" s="1"/>
      <c r="B14" s="1" t="s">
        <v>184</v>
      </c>
      <c r="C14" s="1"/>
      <c r="D14" s="1"/>
      <c r="E14" s="1"/>
      <c r="F14" s="1"/>
      <c r="G14" s="1"/>
      <c r="H14" s="1"/>
      <c r="I14" s="1"/>
    </row>
    <row r="15" spans="1:9" x14ac:dyDescent="0.35">
      <c r="A15" s="1" t="s">
        <v>185</v>
      </c>
      <c r="B15" s="1"/>
      <c r="C15" s="1"/>
      <c r="D15" s="1"/>
      <c r="E15" s="1"/>
      <c r="F15" s="1"/>
      <c r="G15" s="1"/>
      <c r="H15" s="1"/>
      <c r="I15" s="1"/>
    </row>
    <row r="16" spans="1:9" x14ac:dyDescent="0.35">
      <c r="A16" s="1" t="s">
        <v>186</v>
      </c>
      <c r="B16" s="1"/>
      <c r="C16" s="1"/>
      <c r="D16" s="1"/>
      <c r="E16" s="1"/>
      <c r="F16" s="1"/>
      <c r="G16" s="1"/>
      <c r="H16" s="1"/>
      <c r="I16" s="1"/>
    </row>
    <row r="17" spans="1:9" x14ac:dyDescent="0.35">
      <c r="A17" s="1" t="s">
        <v>181</v>
      </c>
      <c r="B17" s="1"/>
      <c r="C17" s="1"/>
      <c r="D17" s="1"/>
      <c r="E17" s="1"/>
      <c r="F17" s="1"/>
      <c r="G17" s="1"/>
      <c r="H17" s="1"/>
      <c r="I17" s="1"/>
    </row>
    <row r="18" spans="1:9" x14ac:dyDescent="0.35">
      <c r="A18" s="84">
        <v>3.78</v>
      </c>
      <c r="B18" s="1" t="s">
        <v>106</v>
      </c>
      <c r="C18" s="1"/>
      <c r="D18" s="1"/>
      <c r="E18" s="1"/>
      <c r="F18" s="1"/>
      <c r="G18" s="1"/>
      <c r="H18" s="1"/>
      <c r="I18" s="1"/>
    </row>
    <row r="19" spans="1:9" x14ac:dyDescent="0.35">
      <c r="A19" s="84"/>
      <c r="B19" s="1"/>
      <c r="C19" s="1"/>
      <c r="D19" s="1"/>
      <c r="E19" s="1"/>
      <c r="F19" s="1"/>
      <c r="G19" s="1"/>
      <c r="H19" s="1"/>
      <c r="I19" s="1"/>
    </row>
    <row r="20" spans="1:9" x14ac:dyDescent="0.35">
      <c r="A20" s="1"/>
      <c r="B20" s="1" t="s">
        <v>187</v>
      </c>
      <c r="C20" s="1"/>
      <c r="D20" s="1"/>
      <c r="E20" s="1"/>
      <c r="F20" s="1"/>
      <c r="G20" s="1"/>
      <c r="H20" s="1"/>
      <c r="I20" s="1"/>
    </row>
    <row r="21" spans="1:9" x14ac:dyDescent="0.35">
      <c r="A21" s="1" t="s">
        <v>188</v>
      </c>
      <c r="B21" s="1"/>
      <c r="C21" s="1"/>
      <c r="D21" s="1"/>
      <c r="E21" s="1"/>
      <c r="F21" s="1"/>
      <c r="G21" s="1"/>
      <c r="H21" s="1"/>
      <c r="I21" s="1"/>
    </row>
    <row r="22" spans="1:9" x14ac:dyDescent="0.35">
      <c r="A22" s="1"/>
      <c r="B22" s="1"/>
      <c r="C22" s="1"/>
      <c r="D22" s="1"/>
      <c r="E22" s="1"/>
      <c r="F22" s="1"/>
      <c r="G22" s="1"/>
      <c r="H22" s="1"/>
      <c r="I22" s="1"/>
    </row>
    <row r="23" spans="1:9" x14ac:dyDescent="0.35">
      <c r="A23" s="1"/>
      <c r="B23" s="1"/>
      <c r="C23" s="1"/>
      <c r="D23" s="1"/>
      <c r="E23" s="1"/>
      <c r="F23" s="1"/>
      <c r="G23" s="1"/>
      <c r="H23" s="1"/>
      <c r="I23" s="1"/>
    </row>
    <row r="24" spans="1:9" x14ac:dyDescent="0.35">
      <c r="A24" s="1"/>
      <c r="B24" s="1"/>
      <c r="C24" s="1"/>
      <c r="D24" s="1"/>
      <c r="E24" s="1"/>
      <c r="F24" s="1"/>
      <c r="G24" s="1"/>
      <c r="H24" s="1"/>
      <c r="I24" s="1"/>
    </row>
    <row r="25" spans="1:9" x14ac:dyDescent="0.35">
      <c r="A25" s="1"/>
      <c r="B25" s="1"/>
      <c r="C25" s="1"/>
      <c r="D25" s="1"/>
      <c r="E25" s="1"/>
      <c r="F25" s="1"/>
      <c r="G25" s="1"/>
      <c r="H25" s="1"/>
      <c r="I25" s="1"/>
    </row>
    <row r="26" spans="1:9" x14ac:dyDescent="0.35">
      <c r="A26" s="1"/>
      <c r="B26" s="1"/>
      <c r="C26" s="1"/>
      <c r="D26" s="1"/>
      <c r="E26" s="1"/>
      <c r="F26" s="1"/>
      <c r="G26" s="1"/>
      <c r="H26" s="1"/>
      <c r="I26" s="1"/>
    </row>
    <row r="27" spans="1:9" x14ac:dyDescent="0.35">
      <c r="A27" s="1"/>
      <c r="B27" s="1"/>
      <c r="C27" s="1"/>
      <c r="D27" s="1"/>
      <c r="E27" s="1"/>
      <c r="F27" s="1"/>
      <c r="G27" s="1"/>
      <c r="H27" s="1"/>
      <c r="I27" s="1"/>
    </row>
    <row r="28" spans="1:9" x14ac:dyDescent="0.35">
      <c r="A28" s="1"/>
      <c r="B28" s="1"/>
      <c r="C28" s="1"/>
      <c r="D28" s="1"/>
      <c r="E28" s="1"/>
      <c r="F28" s="1"/>
      <c r="G28" s="1"/>
      <c r="H28" s="1"/>
      <c r="I28" s="1"/>
    </row>
    <row r="29" spans="1:9" x14ac:dyDescent="0.35">
      <c r="A29" s="1"/>
      <c r="B29" s="1"/>
      <c r="C29" s="1"/>
      <c r="D29" s="1"/>
      <c r="E29" s="1"/>
      <c r="F29" s="1"/>
      <c r="G29" s="1"/>
      <c r="H29" s="1"/>
      <c r="I29" s="1"/>
    </row>
    <row r="30" spans="1:9" x14ac:dyDescent="0.35">
      <c r="A30" s="1"/>
      <c r="B30" s="1"/>
      <c r="C30" s="1"/>
      <c r="D30" s="1"/>
      <c r="E30" s="1"/>
      <c r="F30" s="1"/>
      <c r="G30" s="1"/>
      <c r="H30" s="1"/>
      <c r="I30" s="1"/>
    </row>
    <row r="31" spans="1:9" x14ac:dyDescent="0.35">
      <c r="A31" s="1"/>
      <c r="B31" s="1"/>
      <c r="C31" s="1"/>
      <c r="D31" s="1"/>
      <c r="E31" s="1"/>
      <c r="F31" s="1"/>
      <c r="G31" s="1"/>
      <c r="H31" s="1"/>
      <c r="I31" s="1"/>
    </row>
    <row r="32" spans="1:9" x14ac:dyDescent="0.35">
      <c r="A32" s="1"/>
      <c r="B32" s="1"/>
      <c r="C32" s="1"/>
      <c r="D32" s="1"/>
      <c r="E32" s="1"/>
      <c r="F32" s="1"/>
      <c r="G32" s="1"/>
      <c r="H32" s="1"/>
      <c r="I32" s="1"/>
    </row>
    <row r="33" spans="1:9" x14ac:dyDescent="0.35">
      <c r="A33" s="1"/>
      <c r="B33" s="1"/>
      <c r="C33" s="1"/>
      <c r="D33" s="1"/>
      <c r="E33" s="1"/>
      <c r="F33" s="1"/>
      <c r="G33" s="1"/>
      <c r="H33" s="1"/>
      <c r="I33" s="1"/>
    </row>
    <row r="34" spans="1:9" x14ac:dyDescent="0.35">
      <c r="A34" s="1"/>
      <c r="B34" s="1"/>
      <c r="C34" s="1"/>
      <c r="D34" s="1"/>
      <c r="E34" s="1"/>
      <c r="F34" s="1"/>
      <c r="G34" s="1"/>
      <c r="H34" s="1"/>
      <c r="I34" s="1"/>
    </row>
    <row r="35" spans="1:9" x14ac:dyDescent="0.35">
      <c r="A35" s="1"/>
      <c r="B35" s="1"/>
      <c r="C35" s="1"/>
      <c r="D35" s="1"/>
      <c r="E35" s="1"/>
      <c r="F35" s="1"/>
      <c r="G35" s="1"/>
      <c r="H35" s="1"/>
      <c r="I35" s="1"/>
    </row>
    <row r="36" spans="1:9" x14ac:dyDescent="0.35">
      <c r="A36" s="1"/>
      <c r="B36" s="1"/>
      <c r="C36" s="1"/>
      <c r="D36" s="1"/>
      <c r="E36" s="1"/>
      <c r="F36" s="1"/>
      <c r="G36" s="1"/>
      <c r="H36" s="1"/>
      <c r="I36" s="1"/>
    </row>
    <row r="37" spans="1:9" x14ac:dyDescent="0.35">
      <c r="A37" s="1"/>
      <c r="B37" s="1"/>
      <c r="C37" s="1"/>
      <c r="D37" s="1"/>
      <c r="E37" s="1"/>
      <c r="F37" s="1"/>
      <c r="G37" s="1"/>
      <c r="H37" s="1"/>
      <c r="I37" s="1"/>
    </row>
    <row r="38" spans="1:9" x14ac:dyDescent="0.35">
      <c r="A38" s="1"/>
      <c r="B38" s="1"/>
      <c r="C38" s="1"/>
      <c r="D38" s="1"/>
      <c r="E38" s="1"/>
      <c r="F38" s="1"/>
      <c r="G38" s="1"/>
      <c r="H38" s="1"/>
      <c r="I38" s="1"/>
    </row>
    <row r="39" spans="1:9" x14ac:dyDescent="0.35">
      <c r="A39" s="1"/>
      <c r="B39" s="1"/>
      <c r="C39" s="1"/>
      <c r="D39" s="1"/>
      <c r="E39" s="1"/>
      <c r="F39" s="1"/>
      <c r="G39" s="1"/>
      <c r="H39" s="1"/>
      <c r="I39" s="1"/>
    </row>
    <row r="40" spans="1:9" x14ac:dyDescent="0.35">
      <c r="A40" s="1"/>
      <c r="B40" s="1"/>
      <c r="C40" s="1"/>
      <c r="D40" s="1"/>
      <c r="E40" s="1"/>
      <c r="F40" s="1"/>
      <c r="G40" s="1"/>
      <c r="H40" s="1"/>
      <c r="I40" s="1"/>
    </row>
    <row r="41" spans="1:9" x14ac:dyDescent="0.35">
      <c r="A41" s="1"/>
      <c r="B41" s="1"/>
      <c r="C41" s="1"/>
      <c r="D41" s="1"/>
      <c r="E41" s="1"/>
      <c r="F41" s="1"/>
      <c r="G41" s="1"/>
      <c r="H41" s="1"/>
      <c r="I41" s="1"/>
    </row>
    <row r="42" spans="1:9" x14ac:dyDescent="0.35">
      <c r="A42" s="1"/>
      <c r="B42" s="1"/>
      <c r="C42" s="1"/>
      <c r="D42" s="1"/>
      <c r="E42" s="1"/>
      <c r="F42" s="1"/>
      <c r="G42" s="1"/>
      <c r="H42" s="1"/>
      <c r="I42" s="1"/>
    </row>
    <row r="43" spans="1:9" x14ac:dyDescent="0.3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35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35">
      <c r="A45" s="1"/>
      <c r="B45" s="1"/>
      <c r="C45" s="1"/>
      <c r="D45" s="1"/>
      <c r="E45" s="1"/>
      <c r="F45" s="1"/>
      <c r="G45" s="1"/>
      <c r="H45" s="1"/>
      <c r="I45" s="1"/>
    </row>
    <row r="46" spans="1:9" x14ac:dyDescent="0.35">
      <c r="A46" s="1"/>
      <c r="B46" s="1"/>
      <c r="C46" s="1"/>
      <c r="D46" s="1"/>
      <c r="E46" s="1"/>
      <c r="F46" s="1"/>
      <c r="G46" s="1"/>
      <c r="H46" s="1"/>
      <c r="I46" s="1"/>
    </row>
    <row r="47" spans="1:9" x14ac:dyDescent="0.35">
      <c r="A47" s="1"/>
      <c r="B47" s="1"/>
      <c r="C47" s="1"/>
      <c r="D47" s="1"/>
      <c r="E47" s="1"/>
      <c r="F47" s="1"/>
      <c r="G47" s="1"/>
      <c r="H47" s="1"/>
      <c r="I47" s="1"/>
    </row>
    <row r="48" spans="1:9" x14ac:dyDescent="0.35">
      <c r="A48" s="1"/>
      <c r="B48" s="1"/>
      <c r="C48" s="1"/>
      <c r="D48" s="1"/>
      <c r="E48" s="1"/>
      <c r="F48" s="1"/>
      <c r="G48" s="1"/>
      <c r="H48" s="1"/>
      <c r="I48" s="1"/>
    </row>
    <row r="49" spans="1:9" x14ac:dyDescent="0.35">
      <c r="A49" s="1"/>
      <c r="B49" s="1"/>
      <c r="C49" s="1"/>
      <c r="D49" s="1"/>
      <c r="E49" s="1"/>
      <c r="F49" s="1"/>
      <c r="G49" s="1"/>
      <c r="H49" s="1"/>
      <c r="I49" s="1"/>
    </row>
    <row r="50" spans="1:9" x14ac:dyDescent="0.35">
      <c r="A50" s="1"/>
      <c r="B50" s="1"/>
      <c r="C50" s="1"/>
      <c r="D50" s="1"/>
      <c r="E50" s="1"/>
      <c r="F50" s="1"/>
      <c r="G50" s="1"/>
      <c r="H50" s="1"/>
      <c r="I50" s="1"/>
    </row>
    <row r="51" spans="1:9" x14ac:dyDescent="0.35">
      <c r="A51" s="1"/>
      <c r="B51" s="1"/>
      <c r="C51" s="1"/>
      <c r="D51" s="1"/>
      <c r="E51" s="1"/>
      <c r="F51" s="1"/>
      <c r="G51" s="1"/>
      <c r="H51" s="1"/>
      <c r="I51" s="1"/>
    </row>
    <row r="52" spans="1:9" x14ac:dyDescent="0.35">
      <c r="A52" s="1"/>
      <c r="B52" s="1"/>
      <c r="C52" s="1"/>
      <c r="D52" s="1"/>
      <c r="E52" s="1"/>
      <c r="F52" s="1"/>
      <c r="G52" s="1"/>
      <c r="H52" s="1"/>
      <c r="I52" s="1"/>
    </row>
    <row r="53" spans="1:9" x14ac:dyDescent="0.35">
      <c r="A53" s="1"/>
      <c r="B53" s="1"/>
      <c r="C53" s="1"/>
      <c r="D53" s="1"/>
      <c r="E53" s="1"/>
      <c r="F53" s="1"/>
      <c r="G53" s="1"/>
      <c r="H53" s="1"/>
      <c r="I53" s="1"/>
    </row>
    <row r="54" spans="1:9" x14ac:dyDescent="0.35">
      <c r="A54" s="1"/>
      <c r="B54" s="1"/>
      <c r="C54" s="1"/>
      <c r="D54" s="1"/>
      <c r="E54" s="1"/>
      <c r="F54" s="1"/>
      <c r="G54" s="1"/>
      <c r="H54" s="1"/>
      <c r="I54" s="1"/>
    </row>
    <row r="55" spans="1:9" x14ac:dyDescent="0.35">
      <c r="A55" s="1"/>
      <c r="B55" s="1"/>
      <c r="C55" s="1"/>
      <c r="D55" s="1"/>
      <c r="E55" s="1"/>
      <c r="F55" s="1"/>
      <c r="G55" s="1"/>
      <c r="H55" s="1"/>
      <c r="I55" s="1"/>
    </row>
    <row r="56" spans="1:9" x14ac:dyDescent="0.35">
      <c r="A56" s="1"/>
      <c r="B56" s="1"/>
      <c r="C56" s="1"/>
      <c r="D56" s="1"/>
      <c r="E56" s="1"/>
      <c r="F56" s="1"/>
      <c r="G56" s="1"/>
      <c r="H56" s="1"/>
      <c r="I56" s="1"/>
    </row>
    <row r="57" spans="1:9" x14ac:dyDescent="0.35">
      <c r="A57" s="1"/>
      <c r="B57" s="1"/>
      <c r="C57" s="1"/>
      <c r="D57" s="1"/>
      <c r="E57" s="1"/>
      <c r="F57" s="1"/>
      <c r="G57" s="1"/>
      <c r="H57" s="1"/>
      <c r="I57" s="1"/>
    </row>
    <row r="58" spans="1:9" x14ac:dyDescent="0.35">
      <c r="A58" s="1"/>
      <c r="B58" s="1"/>
      <c r="C58" s="1"/>
      <c r="D58" s="1"/>
      <c r="E58" s="1"/>
      <c r="F58" s="1"/>
      <c r="G58" s="1"/>
      <c r="H58" s="1"/>
      <c r="I58" s="1"/>
    </row>
    <row r="59" spans="1:9" x14ac:dyDescent="0.35">
      <c r="A59" s="1"/>
      <c r="B59" s="1"/>
      <c r="C59" s="1"/>
      <c r="D59" s="1"/>
      <c r="E59" s="1"/>
      <c r="F59" s="1"/>
      <c r="G59" s="1"/>
      <c r="H59" s="1"/>
      <c r="I59" s="1"/>
    </row>
    <row r="60" spans="1:9" x14ac:dyDescent="0.35">
      <c r="A60" s="1"/>
      <c r="B60" s="1"/>
      <c r="C60" s="1"/>
      <c r="D60" s="1"/>
      <c r="E60" s="1"/>
      <c r="F60" s="1"/>
      <c r="G60" s="1"/>
      <c r="H60" s="1"/>
      <c r="I60" s="1"/>
    </row>
    <row r="61" spans="1:9" x14ac:dyDescent="0.35">
      <c r="A61" s="1"/>
      <c r="B61" s="1"/>
      <c r="C61" s="1"/>
      <c r="D61" s="1"/>
      <c r="E61" s="1"/>
      <c r="F61" s="1"/>
      <c r="G61" s="1"/>
      <c r="H61" s="1"/>
      <c r="I61" s="1"/>
    </row>
    <row r="62" spans="1:9" x14ac:dyDescent="0.35">
      <c r="A62" s="1"/>
      <c r="B62" s="1"/>
      <c r="C62" s="1"/>
      <c r="D62" s="1"/>
      <c r="E62" s="1"/>
      <c r="F62" s="1"/>
      <c r="G62" s="1"/>
      <c r="H62" s="1"/>
      <c r="I62" s="1"/>
    </row>
    <row r="63" spans="1:9" x14ac:dyDescent="0.35">
      <c r="A63" s="1"/>
      <c r="B63" s="1"/>
      <c r="C63" s="1"/>
      <c r="D63" s="1"/>
      <c r="E63" s="1"/>
      <c r="F63" s="1"/>
      <c r="G63" s="1"/>
      <c r="H63" s="1"/>
      <c r="I63" s="1"/>
    </row>
    <row r="64" spans="1:9" x14ac:dyDescent="0.35">
      <c r="A64" s="1"/>
      <c r="B64" s="1"/>
      <c r="C64" s="1"/>
      <c r="D64" s="1"/>
      <c r="E64" s="1"/>
      <c r="F64" s="1"/>
      <c r="G64" s="1"/>
      <c r="H64" s="1"/>
      <c r="I64" s="1"/>
    </row>
    <row r="65" spans="1:9" x14ac:dyDescent="0.35">
      <c r="A65" s="1"/>
      <c r="B65" s="1"/>
      <c r="C65" s="1"/>
      <c r="D65" s="1"/>
      <c r="E65" s="1"/>
      <c r="F65" s="1"/>
      <c r="G65" s="1"/>
      <c r="H65" s="1"/>
      <c r="I65" s="1"/>
    </row>
    <row r="66" spans="1:9" x14ac:dyDescent="0.35">
      <c r="A66" s="1"/>
      <c r="B66" s="1"/>
      <c r="C66" s="1"/>
      <c r="D66" s="1"/>
      <c r="E66" s="1"/>
      <c r="F66" s="1"/>
      <c r="G66" s="1"/>
      <c r="H66" s="1"/>
      <c r="I66" s="1"/>
    </row>
    <row r="67" spans="1:9" x14ac:dyDescent="0.35">
      <c r="A67" s="1"/>
      <c r="B67" s="1"/>
      <c r="C67" s="1"/>
      <c r="D67" s="1"/>
      <c r="E67" s="1"/>
      <c r="F67" s="1"/>
      <c r="G67" s="1"/>
      <c r="H67" s="1"/>
      <c r="I67" s="1"/>
    </row>
    <row r="68" spans="1:9" x14ac:dyDescent="0.35">
      <c r="A68" s="1"/>
      <c r="B68" s="1"/>
      <c r="C68" s="1"/>
      <c r="D68" s="1"/>
      <c r="E68" s="1"/>
      <c r="F68" s="1"/>
      <c r="G68" s="1"/>
      <c r="H68" s="1"/>
      <c r="I68" s="1"/>
    </row>
    <row r="69" spans="1:9" x14ac:dyDescent="0.35">
      <c r="A69" s="1"/>
      <c r="B69" s="1"/>
      <c r="C69" s="1"/>
      <c r="D69" s="1"/>
      <c r="E69" s="1"/>
      <c r="F69" s="1"/>
      <c r="G69" s="1"/>
      <c r="H69" s="1"/>
      <c r="I69" s="1"/>
    </row>
    <row r="70" spans="1:9" x14ac:dyDescent="0.35">
      <c r="A70" s="1"/>
      <c r="B70" s="1"/>
      <c r="C70" s="1"/>
      <c r="D70" s="1"/>
      <c r="E70" s="1"/>
      <c r="F70" s="1"/>
      <c r="G70" s="1"/>
      <c r="H70" s="1"/>
      <c r="I70" s="1"/>
    </row>
    <row r="71" spans="1:9" x14ac:dyDescent="0.35">
      <c r="A71" s="1"/>
      <c r="B71" s="1"/>
      <c r="C71" s="1"/>
      <c r="D71" s="1"/>
      <c r="E71" s="1"/>
      <c r="F71" s="1"/>
      <c r="G71" s="1"/>
      <c r="H71" s="1"/>
      <c r="I71" s="1"/>
    </row>
    <row r="72" spans="1:9" x14ac:dyDescent="0.35">
      <c r="A72" s="1"/>
      <c r="B72" s="1"/>
      <c r="C72" s="1"/>
      <c r="D72" s="1"/>
      <c r="E72" s="1"/>
      <c r="F72" s="1"/>
      <c r="G72" s="1"/>
      <c r="H72" s="1"/>
      <c r="I72" s="1"/>
    </row>
    <row r="73" spans="1:9" x14ac:dyDescent="0.35">
      <c r="A73" s="1"/>
      <c r="B73" s="1"/>
      <c r="C73" s="1"/>
      <c r="D73" s="1"/>
      <c r="E73" s="1"/>
      <c r="F73" s="1"/>
      <c r="G73" s="1"/>
      <c r="H73" s="1"/>
      <c r="I73" s="1"/>
    </row>
    <row r="74" spans="1:9" x14ac:dyDescent="0.35">
      <c r="A74" s="1"/>
      <c r="B74" s="1"/>
      <c r="C74" s="1"/>
      <c r="D74" s="1"/>
      <c r="E74" s="1"/>
      <c r="F74" s="1"/>
      <c r="G74" s="1"/>
      <c r="H74" s="1"/>
      <c r="I74" s="1"/>
    </row>
    <row r="75" spans="1:9" x14ac:dyDescent="0.35">
      <c r="A75" s="1"/>
      <c r="B75" s="1"/>
      <c r="C75" s="1"/>
      <c r="D75" s="1"/>
      <c r="E75" s="1"/>
      <c r="F75" s="1"/>
      <c r="G75" s="1"/>
      <c r="H75" s="1"/>
      <c r="I75" s="1"/>
    </row>
    <row r="76" spans="1:9" x14ac:dyDescent="0.35">
      <c r="A76" s="1"/>
      <c r="B76" s="1"/>
      <c r="C76" s="1"/>
      <c r="D76" s="1"/>
      <c r="E76" s="1"/>
      <c r="F76" s="1"/>
      <c r="G76" s="1"/>
      <c r="H76" s="1"/>
      <c r="I76" s="1"/>
    </row>
    <row r="77" spans="1:9" x14ac:dyDescent="0.35">
      <c r="A77" s="1"/>
      <c r="B77" s="1"/>
      <c r="C77" s="1"/>
      <c r="D77" s="1"/>
      <c r="E77" s="1"/>
      <c r="F77" s="1"/>
      <c r="G77" s="1"/>
      <c r="H77" s="1"/>
      <c r="I77" s="1"/>
    </row>
    <row r="78" spans="1:9" x14ac:dyDescent="0.35">
      <c r="A78" s="1"/>
      <c r="B78" s="1"/>
      <c r="C78" s="1"/>
      <c r="D78" s="1"/>
      <c r="E78" s="1"/>
      <c r="F78" s="1"/>
      <c r="G78" s="1"/>
      <c r="H78" s="1"/>
      <c r="I78" s="1"/>
    </row>
    <row r="79" spans="1:9" x14ac:dyDescent="0.35">
      <c r="A79" s="1"/>
      <c r="B79" s="1"/>
      <c r="C79" s="1"/>
      <c r="D79" s="1"/>
      <c r="E79" s="1"/>
      <c r="F79" s="1"/>
      <c r="G79" s="1"/>
      <c r="H79" s="1"/>
      <c r="I79" s="1"/>
    </row>
  </sheetData>
  <pageMargins left="0.98425196850393704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5</vt:i4>
      </vt:variant>
    </vt:vector>
  </HeadingPairs>
  <TitlesOfParts>
    <vt:vector size="5" baseType="lpstr">
      <vt:lpstr>แบบ ภายนอก</vt:lpstr>
      <vt:lpstr>ส่วน 2</vt:lpstr>
      <vt:lpstr>ส่วนที่ 2 (ยุธทศาสตร์)</vt:lpstr>
      <vt:lpstr>ตาราง แสดงค่าเฉลี่ย</vt:lpstr>
      <vt:lpstr>อธิบายตาราง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jinjuta</dc:creator>
  <cp:lastModifiedBy>jinjuta</cp:lastModifiedBy>
  <cp:lastPrinted>2023-12-20T08:33:35Z</cp:lastPrinted>
  <dcterms:created xsi:type="dcterms:W3CDTF">2022-10-29T07:27:41Z</dcterms:created>
  <dcterms:modified xsi:type="dcterms:W3CDTF">2023-12-20T08:33:41Z</dcterms:modified>
</cp:coreProperties>
</file>